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rlWeb\program-1\"/>
    </mc:Choice>
  </mc:AlternateContent>
  <xr:revisionPtr revIDLastSave="0" documentId="13_ncr:1_{5085F8CA-39FA-41E6-BDC5-888EDB796A66}" xr6:coauthVersionLast="36" xr6:coauthVersionMax="36" xr10:uidLastSave="{00000000-0000-0000-0000-000000000000}"/>
  <bookViews>
    <workbookView xWindow="0" yWindow="0" windowWidth="28800" windowHeight="12175" xr2:uid="{00000000-000D-0000-FFFF-FFFF00000000}"/>
  </bookViews>
  <sheets>
    <sheet name="工作表1" sheetId="1" r:id="rId1"/>
  </sheets>
  <definedNames>
    <definedName name="_xlnm.Print_Area" localSheetId="0">工作表1!$A$1:$K$37</definedName>
  </definedNames>
  <calcPr calcId="191029"/>
</workbook>
</file>

<file path=xl/calcChain.xml><?xml version="1.0" encoding="utf-8"?>
<calcChain xmlns="http://schemas.openxmlformats.org/spreadsheetml/2006/main">
  <c r="O7" i="1" l="1"/>
  <c r="N7" i="1"/>
  <c r="M7" i="1"/>
  <c r="J7" i="1" s="1"/>
  <c r="J5" i="1"/>
  <c r="F22" i="1" l="1"/>
  <c r="F31" i="1" s="1"/>
  <c r="F20" i="1"/>
  <c r="F29" i="1" s="1"/>
  <c r="D24" i="1"/>
  <c r="D33" i="1" s="1"/>
  <c r="E23" i="1"/>
  <c r="E32" i="1" s="1"/>
  <c r="F25" i="1"/>
  <c r="F34" i="1" s="1"/>
  <c r="D23" i="1"/>
  <c r="D32" i="1" s="1"/>
  <c r="E25" i="1"/>
  <c r="E34" i="1" s="1"/>
  <c r="D25" i="1"/>
  <c r="D34" i="1" s="1"/>
  <c r="E22" i="1"/>
  <c r="E31" i="1" s="1"/>
  <c r="F24" i="1"/>
  <c r="F33" i="1" s="1"/>
  <c r="D22" i="1"/>
  <c r="D31" i="1" s="1"/>
  <c r="E24" i="1"/>
  <c r="E33" i="1" s="1"/>
  <c r="E21" i="1"/>
  <c r="E30" i="1" s="1"/>
  <c r="F21" i="1"/>
  <c r="F30" i="1" s="1"/>
  <c r="D20" i="1"/>
  <c r="D29" i="1" s="1"/>
  <c r="E20" i="1"/>
  <c r="E29" i="1" s="1"/>
  <c r="F23" i="1"/>
  <c r="F32" i="1" s="1"/>
  <c r="D21" i="1"/>
  <c r="D30" i="1" s="1"/>
  <c r="H12" i="1"/>
  <c r="AQ13" i="1"/>
  <c r="AQ9" i="1"/>
  <c r="AQ8" i="1"/>
  <c r="AQ12" i="1" s="1"/>
  <c r="AQ7" i="1"/>
  <c r="AQ11" i="1" s="1"/>
  <c r="AQ6" i="1"/>
  <c r="AQ10" i="1" s="1"/>
  <c r="H11" i="1" l="1"/>
  <c r="H16" i="1"/>
  <c r="H15" i="1"/>
  <c r="H14" i="1"/>
  <c r="H13" i="1"/>
  <c r="F10" i="1" l="1"/>
  <c r="F19" i="1" s="1"/>
  <c r="F28" i="1" s="1"/>
  <c r="H21" i="1" l="1"/>
  <c r="H30" i="1" s="1"/>
  <c r="H25" i="1" l="1"/>
  <c r="H34" i="1" s="1"/>
  <c r="H20" i="1"/>
  <c r="H29" i="1" s="1"/>
  <c r="H23" i="1"/>
  <c r="H32" i="1" s="1"/>
  <c r="H22" i="1"/>
  <c r="H31" i="1" s="1"/>
  <c r="H24" i="1"/>
  <c r="H33" i="1" s="1"/>
  <c r="C20" i="1"/>
  <c r="C29" i="1" s="1"/>
  <c r="G29" i="1" s="1"/>
  <c r="C21" i="1"/>
  <c r="C30" i="1" s="1"/>
  <c r="G30" i="1" s="1"/>
  <c r="I30" i="1" s="1"/>
  <c r="C22" i="1"/>
  <c r="C31" i="1" s="1"/>
  <c r="G31" i="1" s="1"/>
  <c r="C23" i="1"/>
  <c r="C32" i="1" s="1"/>
  <c r="G32" i="1" s="1"/>
  <c r="C24" i="1"/>
  <c r="C33" i="1" s="1"/>
  <c r="G33" i="1" s="1"/>
  <c r="C25" i="1"/>
  <c r="C34" i="1" s="1"/>
  <c r="G34" i="1" s="1"/>
  <c r="G11" i="1"/>
  <c r="G12" i="1"/>
  <c r="G13" i="1"/>
  <c r="G14" i="1"/>
  <c r="G15" i="1"/>
  <c r="G16" i="1"/>
  <c r="I33" i="1" l="1"/>
  <c r="I31" i="1"/>
  <c r="I32" i="1"/>
  <c r="I29" i="1"/>
  <c r="I34" i="1"/>
  <c r="G20" i="1"/>
  <c r="I20" i="1" s="1"/>
  <c r="J20" i="1" s="1"/>
  <c r="G24" i="1"/>
  <c r="I24" i="1" s="1"/>
  <c r="J24" i="1" s="1"/>
  <c r="G23" i="1"/>
  <c r="I23" i="1" s="1"/>
  <c r="G25" i="1"/>
  <c r="I25" i="1" s="1"/>
  <c r="I15" i="1"/>
  <c r="G22" i="1"/>
  <c r="I22" i="1" s="1"/>
  <c r="G21" i="1"/>
  <c r="I21" i="1" s="1"/>
  <c r="I14" i="1"/>
  <c r="I16" i="1"/>
  <c r="I13" i="1"/>
  <c r="I12" i="1"/>
  <c r="I11" i="1"/>
  <c r="J22" i="1" l="1"/>
  <c r="J23" i="1"/>
  <c r="J34" i="1"/>
  <c r="J21" i="1"/>
  <c r="J32" i="1"/>
  <c r="J25" i="1"/>
  <c r="J29" i="1"/>
  <c r="J33" i="1"/>
  <c r="J31" i="1"/>
  <c r="J30" i="1"/>
</calcChain>
</file>

<file path=xl/sharedStrings.xml><?xml version="1.0" encoding="utf-8"?>
<sst xmlns="http://schemas.openxmlformats.org/spreadsheetml/2006/main" count="72" uniqueCount="44">
  <si>
    <t>小計</t>
    <phoneticPr fontId="1" type="noConversion"/>
  </si>
  <si>
    <t>合計</t>
    <phoneticPr fontId="1" type="noConversion"/>
  </si>
  <si>
    <t>每月優惠
存款利息</t>
    <phoneticPr fontId="1" type="noConversion"/>
  </si>
  <si>
    <t>113年</t>
  </si>
  <si>
    <t>114年</t>
  </si>
  <si>
    <t>115年</t>
  </si>
  <si>
    <t>116年</t>
  </si>
  <si>
    <t>117年</t>
  </si>
  <si>
    <t>118年</t>
  </si>
  <si>
    <t>每月
調高金額</t>
    <phoneticPr fontId="1" type="noConversion"/>
  </si>
  <si>
    <t>大口</t>
    <phoneticPr fontId="1" type="noConversion"/>
  </si>
  <si>
    <t>年度</t>
    <phoneticPr fontId="1" type="noConversion"/>
  </si>
  <si>
    <t>眷屬代金
及補助</t>
    <phoneticPr fontId="1" type="noConversion"/>
  </si>
  <si>
    <t>退休金種類：</t>
    <phoneticPr fontId="1" type="noConversion"/>
  </si>
  <si>
    <t>舊制
月退撫金</t>
    <phoneticPr fontId="1" type="noConversion"/>
  </si>
  <si>
    <t>新制
月退撫金</t>
    <phoneticPr fontId="1" type="noConversion"/>
  </si>
  <si>
    <t>全部月退休金</t>
    <phoneticPr fontId="1" type="noConversion"/>
  </si>
  <si>
    <t>1/2月退休金</t>
    <phoneticPr fontId="1" type="noConversion"/>
  </si>
  <si>
    <t>遺屬金撫慰金(2/3月退)</t>
    <phoneticPr fontId="1" type="noConversion"/>
  </si>
  <si>
    <t>遺屬金撫慰金(1/2月退)</t>
    <phoneticPr fontId="1" type="noConversion"/>
  </si>
  <si>
    <t>遺屬金撫慰金(3/4月退)</t>
    <phoneticPr fontId="1" type="noConversion"/>
  </si>
  <si>
    <t>遺屬金撫慰金(全月退)</t>
    <phoneticPr fontId="1" type="noConversion"/>
  </si>
  <si>
    <t>月撫卹金</t>
    <phoneticPr fontId="1" type="noConversion"/>
  </si>
  <si>
    <t>機關學校名稱：</t>
    <phoneticPr fontId="1" type="noConversion"/>
  </si>
  <si>
    <t>註：一、</t>
    <phoneticPr fontId="1" type="noConversion"/>
  </si>
  <si>
    <t>二、</t>
    <phoneticPr fontId="1" type="noConversion"/>
  </si>
  <si>
    <t>每月優惠存款利息、眷屬代金及補助費兩項，非屬調整範圍，維持原金額。</t>
    <phoneticPr fontId="1" type="noConversion"/>
  </si>
  <si>
    <t>姓名：</t>
    <phoneticPr fontId="1" type="noConversion"/>
  </si>
  <si>
    <t>王大明</t>
  </si>
  <si>
    <t>核定眷口：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</si>
  <si>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</si>
  <si>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</si>
  <si>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</si>
  <si>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2/3月退休金</t>
    <phoneticPr fontId="1" type="noConversion"/>
  </si>
  <si>
    <t>3/4月退休金</t>
    <phoneticPr fontId="1" type="noConversion"/>
  </si>
  <si>
    <t>審計部臺北市審計處</t>
    <phoneticPr fontId="1" type="noConversion"/>
  </si>
  <si>
    <t>退休生效日期：</t>
    <phoneticPr fontId="1" type="noConversion"/>
  </si>
  <si>
    <t xml:space="preserve">  退休時核定之退撫給與金額</t>
    <phoneticPr fontId="1" type="noConversion"/>
  </si>
  <si>
    <t xml:space="preserve">  111.7.1 調薪後每月退撫給與金額</t>
    <phoneticPr fontId="1" type="noConversion"/>
  </si>
  <si>
    <t xml:space="preserve">  113.1.1 調薪後每月退撫給與金額</t>
    <phoneticPr fontId="1" type="noConversion"/>
  </si>
  <si>
    <t>全部月退休金</t>
  </si>
  <si>
    <t>調整幅度：</t>
    <phoneticPr fontId="1" type="noConversion"/>
  </si>
  <si>
    <r>
      <rPr>
        <b/>
        <sz val="16"/>
        <color theme="0"/>
        <rFont val="標楷體"/>
        <family val="4"/>
        <charset val="136"/>
      </rPr>
      <t>113.1.1退撫給與調整後，已核定月退撫給與人員
每月退撫所得調高金額一覽表（113.2.29）</t>
    </r>
    <r>
      <rPr>
        <b/>
        <sz val="19"/>
        <color theme="0"/>
        <rFont val="標楷體"/>
        <family val="4"/>
        <charset val="136"/>
      </rPr>
      <t xml:space="preserve">
</t>
    </r>
    <r>
      <rPr>
        <sz val="10"/>
        <color rgb="FFFFFF00"/>
        <rFont val="細明體"/>
        <family val="3"/>
        <charset val="136"/>
      </rPr>
      <t>【程式設計：審計部臺北市審計處人事室 高明賢 kau0914@ms23.hinet.net】</t>
    </r>
    <phoneticPr fontId="1" type="noConversion"/>
  </si>
  <si>
    <t>新制月退休金、舊制月退休金及月補償金三項，先分別乘以調薪百分比，並均無條件進位至整數後，再予加總，即調整後每月退休所得。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</si>
</sst>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);[Red]\(0.00\)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rgb="FF0000FF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b/>
      <sz val="19"/>
      <color theme="0"/>
      <name val="標楷體"/>
      <family val="4"/>
      <charset val="136"/>
    </font>
    <font>
      <b/>
      <sz val="16"/>
      <color theme="0"/>
      <name val="標楷體"/>
      <family val="4"/>
      <charset val="136"/>
    </font>
    <font>
      <sz val="10"/>
      <color rgb="FFFFFF00"/>
      <name val="細明體"/>
      <family val="3"/>
      <charset val="136"/>
    </font>
    <font>
      <sz val="1"/>
      <color rgb="FFCCFFCC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-0.2499465926084170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76" fontId="3" fillId="2" borderId="1" xfId="0" applyNumberFormat="1" applyFont="1" applyFill="1" applyBorder="1" applyAlignment="1" applyProtection="1">
      <alignment horizontal="center" vertical="center"/>
      <protection hidden="1"/>
    </xf>
    <xf numFmtId="176" fontId="3" fillId="2" borderId="2" xfId="0" applyNumberFormat="1" applyFont="1" applyFill="1" applyBorder="1" applyAlignment="1" applyProtection="1">
      <alignment horizontal="center" vertical="center"/>
      <protection hidden="1"/>
    </xf>
    <xf numFmtId="176" fontId="5" fillId="2" borderId="2" xfId="0" applyNumberFormat="1" applyFont="1" applyFill="1" applyBorder="1" applyAlignment="1" applyProtection="1">
      <alignment horizontal="center" vertical="center"/>
      <protection hidden="1"/>
    </xf>
    <xf numFmtId="176" fontId="3" fillId="2" borderId="4" xfId="0" applyNumberFormat="1" applyFont="1" applyFill="1" applyBorder="1" applyAlignment="1" applyProtection="1">
      <alignment horizontal="center" vertical="center"/>
      <protection hidden="1"/>
    </xf>
    <xf numFmtId="176" fontId="3" fillId="2" borderId="5" xfId="0" applyNumberFormat="1" applyFont="1" applyFill="1" applyBorder="1" applyAlignment="1" applyProtection="1">
      <alignment horizontal="center" vertical="center"/>
      <protection hidden="1"/>
    </xf>
    <xf numFmtId="176" fontId="5" fillId="2" borderId="5" xfId="0" applyNumberFormat="1" applyFont="1" applyFill="1" applyBorder="1" applyAlignment="1" applyProtection="1">
      <alignment horizontal="center" vertical="center"/>
      <protection hidden="1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5" xfId="0" applyNumberFormat="1" applyFont="1" applyFill="1" applyBorder="1" applyAlignment="1" applyProtection="1">
      <alignment horizontal="center" vertical="center"/>
      <protection hidden="1"/>
    </xf>
    <xf numFmtId="176" fontId="6" fillId="2" borderId="3" xfId="0" applyNumberFormat="1" applyFont="1" applyFill="1" applyBorder="1" applyAlignment="1" applyProtection="1">
      <alignment horizontal="center" vertical="center"/>
      <protection hidden="1"/>
    </xf>
    <xf numFmtId="176" fontId="6" fillId="2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77" fontId="2" fillId="0" borderId="0" xfId="0" applyNumberFormat="1" applyFont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76" fontId="4" fillId="2" borderId="8" xfId="0" applyNumberFormat="1" applyFont="1" applyFill="1" applyBorder="1" applyAlignment="1" applyProtection="1">
      <alignment horizontal="center" vertical="center"/>
      <protection hidden="1"/>
    </xf>
    <xf numFmtId="176" fontId="4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right" vertical="top"/>
      <protection hidden="1"/>
    </xf>
    <xf numFmtId="0" fontId="2" fillId="3" borderId="0" xfId="0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4" fontId="10" fillId="0" borderId="0" xfId="0" applyNumberFormat="1" applyFont="1" applyAlignment="1" applyProtection="1">
      <alignment horizontal="center" vertical="center"/>
      <protection hidden="1"/>
    </xf>
    <xf numFmtId="9" fontId="0" fillId="2" borderId="13" xfId="0" applyNumberForma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11" fillId="2" borderId="12" xfId="0" applyFont="1" applyFill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" fillId="3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vertical="top"/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hidden="1"/>
    </xf>
  </cellXfs>
  <cellStyles count="1">
    <cellStyle name="一般" xfId="0" builtinId="0"/>
  </cellStyles>
  <dxfs count="2">
    <dxf>
      <font>
        <color rgb="FFFFCC99"/>
      </font>
      <fill>
        <patternFill>
          <bgColor rgb="FFFFCC99"/>
        </patternFill>
      </fill>
    </dxf>
    <dxf>
      <font>
        <color rgb="FFFFCC99"/>
      </font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CCFFCC"/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7"/>
  <sheetViews>
    <sheetView tabSelected="1" workbookViewId="0">
      <selection sqref="A1:K1"/>
    </sheetView>
  </sheetViews>
  <sheetFormatPr defaultRowHeight="13.75" x14ac:dyDescent="0.3"/>
  <cols>
    <col min="1" max="1" width="3.5" style="2" customWidth="1"/>
    <col min="2" max="6" width="9.625" style="2" customWidth="1"/>
    <col min="7" max="8" width="10.625" style="2" customWidth="1"/>
    <col min="9" max="10" width="9.625" style="2" customWidth="1"/>
    <col min="11" max="11" width="3.875" style="2" customWidth="1"/>
    <col min="12" max="12" width="9" style="2"/>
    <col min="13" max="14" width="15.75" style="2" bestFit="1" customWidth="1"/>
    <col min="15" max="16384" width="9" style="2"/>
  </cols>
  <sheetData>
    <row r="1" spans="1:43" ht="67.599999999999994" customHeight="1" thickBot="1" x14ac:dyDescent="0.35">
      <c r="A1" s="46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43" ht="5.0999999999999996" customHeight="1" thickTop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43" ht="20.95" customHeight="1" x14ac:dyDescent="0.3">
      <c r="A3" s="1"/>
      <c r="B3" s="48" t="s">
        <v>23</v>
      </c>
      <c r="C3" s="49"/>
      <c r="D3" s="50" t="s">
        <v>35</v>
      </c>
      <c r="E3" s="51"/>
      <c r="F3" s="51"/>
      <c r="G3" s="51"/>
      <c r="H3" s="32" t="s">
        <v>27</v>
      </c>
      <c r="I3" s="50" t="s">
        <v>28</v>
      </c>
      <c r="J3" s="50"/>
      <c r="K3" s="20"/>
    </row>
    <row r="4" spans="1:43" ht="5.0999999999999996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43" ht="22.6" customHeight="1" x14ac:dyDescent="0.3">
      <c r="A5" s="1"/>
      <c r="B5" s="48" t="s">
        <v>13</v>
      </c>
      <c r="C5" s="48"/>
      <c r="D5" s="50" t="s">
        <v>40</v>
      </c>
      <c r="E5" s="50"/>
      <c r="F5" s="51"/>
      <c r="G5" s="32" t="s">
        <v>29</v>
      </c>
      <c r="H5" s="30">
        <v>0</v>
      </c>
      <c r="I5" s="21" t="s">
        <v>10</v>
      </c>
      <c r="J5" s="33">
        <f>VLOOKUP(D5,AP5:AQ13,2,0)</f>
        <v>1</v>
      </c>
      <c r="K5" s="20"/>
      <c r="AP5" s="18" t="s">
        <v>16</v>
      </c>
      <c r="AQ5" s="19">
        <v>1</v>
      </c>
    </row>
    <row r="6" spans="1:43" ht="5.0999999999999996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AP6" s="18" t="s">
        <v>17</v>
      </c>
      <c r="AQ6" s="19">
        <f>1/2</f>
        <v>0.5</v>
      </c>
    </row>
    <row r="7" spans="1:43" ht="22.6" customHeight="1" x14ac:dyDescent="0.3">
      <c r="A7" s="1"/>
      <c r="B7" s="48" t="s">
        <v>36</v>
      </c>
      <c r="C7" s="48"/>
      <c r="D7" s="31">
        <v>110</v>
      </c>
      <c r="E7" s="21" t="s">
        <v>30</v>
      </c>
      <c r="F7" s="31">
        <v>12</v>
      </c>
      <c r="G7" s="21" t="s">
        <v>31</v>
      </c>
      <c r="H7" s="31">
        <v>31</v>
      </c>
      <c r="I7" s="21" t="s">
        <v>32</v>
      </c>
      <c r="J7" s="52">
        <f>IF(M7&gt;=DATE(2024,1,1),0,IF(M7&gt;=N7,1,2))</f>
        <v>2</v>
      </c>
      <c r="K7" s="33"/>
      <c r="L7" s="35"/>
      <c r="M7" s="36">
        <f>DATE(D7+1911,F7,H7)</f>
        <v>44561</v>
      </c>
      <c r="N7" s="36">
        <f>DATE(2022,7,1)</f>
        <v>44743</v>
      </c>
      <c r="O7" s="36">
        <f>DATE(2023,1,1)</f>
        <v>44927</v>
      </c>
      <c r="AP7" s="18" t="s">
        <v>33</v>
      </c>
      <c r="AQ7" s="19">
        <f>2/3</f>
        <v>0.66666666666666663</v>
      </c>
    </row>
    <row r="8" spans="1:43" ht="8.1999999999999993" customHeight="1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AP8" s="18" t="s">
        <v>34</v>
      </c>
      <c r="AQ8" s="19">
        <f>3/4</f>
        <v>0.75</v>
      </c>
    </row>
    <row r="9" spans="1:43" ht="27" customHeight="1" thickTop="1" x14ac:dyDescent="0.3">
      <c r="A9" s="1"/>
      <c r="B9" s="38" t="s">
        <v>37</v>
      </c>
      <c r="C9" s="39"/>
      <c r="D9" s="39"/>
      <c r="E9" s="39"/>
      <c r="F9" s="39"/>
      <c r="G9" s="39"/>
      <c r="H9" s="40"/>
      <c r="I9" s="40"/>
      <c r="J9" s="41"/>
      <c r="K9" s="1"/>
      <c r="AP9" s="18" t="s">
        <v>21</v>
      </c>
      <c r="AQ9" s="19">
        <f>1/2</f>
        <v>0.5</v>
      </c>
    </row>
    <row r="10" spans="1:43" ht="38.950000000000003" customHeight="1" x14ac:dyDescent="0.3">
      <c r="A10" s="1"/>
      <c r="B10" s="3" t="s">
        <v>11</v>
      </c>
      <c r="C10" s="4" t="s">
        <v>2</v>
      </c>
      <c r="D10" s="4" t="s">
        <v>14</v>
      </c>
      <c r="E10" s="4" t="s">
        <v>15</v>
      </c>
      <c r="F10" s="4" t="str">
        <f>IF(D5="月撫卹金","未成年子女加發","月補償金")</f>
        <v>月補償金</v>
      </c>
      <c r="G10" s="5" t="s">
        <v>0</v>
      </c>
      <c r="H10" s="4" t="s">
        <v>12</v>
      </c>
      <c r="I10" s="22" t="s">
        <v>1</v>
      </c>
      <c r="J10" s="25"/>
      <c r="K10" s="1"/>
      <c r="AP10" s="18" t="s">
        <v>19</v>
      </c>
      <c r="AQ10" s="19">
        <f>1/2*AQ6</f>
        <v>0.25</v>
      </c>
    </row>
    <row r="11" spans="1:43" ht="21.95" customHeight="1" x14ac:dyDescent="0.3">
      <c r="A11" s="1"/>
      <c r="B11" s="6" t="s">
        <v>3</v>
      </c>
      <c r="C11" s="12">
        <v>0</v>
      </c>
      <c r="D11" s="12">
        <v>23525</v>
      </c>
      <c r="E11" s="12">
        <v>31044</v>
      </c>
      <c r="F11" s="12">
        <v>0</v>
      </c>
      <c r="G11" s="8">
        <f t="shared" ref="G11:G16" si="0">C11+D11+E11+F11</f>
        <v>54569</v>
      </c>
      <c r="H11" s="7">
        <f>ROUNDUP(IF($H$5=0,0,606*$H$5*$J$5),0)</f>
        <v>0</v>
      </c>
      <c r="I11" s="23">
        <f t="shared" ref="I11:I16" si="1">G11+H11</f>
        <v>54569</v>
      </c>
      <c r="J11" s="25"/>
      <c r="K11" s="1"/>
      <c r="AP11" s="18" t="s">
        <v>18</v>
      </c>
      <c r="AQ11" s="19">
        <f t="shared" ref="AQ11:AQ12" si="2">1/2*AQ7</f>
        <v>0.33333333333333331</v>
      </c>
    </row>
    <row r="12" spans="1:43" ht="21.95" customHeight="1" x14ac:dyDescent="0.3">
      <c r="A12" s="1"/>
      <c r="B12" s="6" t="s">
        <v>4</v>
      </c>
      <c r="C12" s="12">
        <v>0</v>
      </c>
      <c r="D12" s="12">
        <v>22069</v>
      </c>
      <c r="E12" s="12">
        <v>31044</v>
      </c>
      <c r="F12" s="12">
        <v>0</v>
      </c>
      <c r="G12" s="8">
        <f t="shared" si="0"/>
        <v>53113</v>
      </c>
      <c r="H12" s="7">
        <f t="shared" ref="H12:H16" si="3">ROUNDUP(IF($H$5=0,0,606*$H$5*$J$5),0)</f>
        <v>0</v>
      </c>
      <c r="I12" s="23">
        <f t="shared" si="1"/>
        <v>53113</v>
      </c>
      <c r="J12" s="25"/>
      <c r="K12" s="1"/>
      <c r="AP12" s="18" t="s">
        <v>20</v>
      </c>
      <c r="AQ12" s="19">
        <f t="shared" si="2"/>
        <v>0.375</v>
      </c>
    </row>
    <row r="13" spans="1:43" ht="21.95" customHeight="1" x14ac:dyDescent="0.3">
      <c r="A13" s="1"/>
      <c r="B13" s="6" t="s">
        <v>5</v>
      </c>
      <c r="C13" s="12">
        <v>0</v>
      </c>
      <c r="D13" s="12">
        <v>20614</v>
      </c>
      <c r="E13" s="12">
        <v>31044</v>
      </c>
      <c r="F13" s="12">
        <v>0</v>
      </c>
      <c r="G13" s="8">
        <f t="shared" si="0"/>
        <v>51658</v>
      </c>
      <c r="H13" s="7">
        <f t="shared" si="3"/>
        <v>0</v>
      </c>
      <c r="I13" s="23">
        <f t="shared" si="1"/>
        <v>51658</v>
      </c>
      <c r="J13" s="25"/>
      <c r="K13" s="1"/>
      <c r="AP13" s="2" t="s">
        <v>22</v>
      </c>
      <c r="AQ13" s="2">
        <f>0</f>
        <v>0</v>
      </c>
    </row>
    <row r="14" spans="1:43" ht="21.95" customHeight="1" x14ac:dyDescent="0.3">
      <c r="A14" s="1"/>
      <c r="B14" s="6" t="s">
        <v>6</v>
      </c>
      <c r="C14" s="12">
        <v>0</v>
      </c>
      <c r="D14" s="12">
        <v>19159</v>
      </c>
      <c r="E14" s="12">
        <v>31044</v>
      </c>
      <c r="F14" s="12">
        <v>0</v>
      </c>
      <c r="G14" s="8">
        <f t="shared" si="0"/>
        <v>50203</v>
      </c>
      <c r="H14" s="7">
        <f t="shared" si="3"/>
        <v>0</v>
      </c>
      <c r="I14" s="23">
        <f t="shared" si="1"/>
        <v>50203</v>
      </c>
      <c r="J14" s="25"/>
      <c r="K14" s="1"/>
      <c r="AP14" s="18"/>
      <c r="AQ14" s="19"/>
    </row>
    <row r="15" spans="1:43" ht="21.95" customHeight="1" x14ac:dyDescent="0.3">
      <c r="A15" s="1"/>
      <c r="B15" s="6" t="s">
        <v>7</v>
      </c>
      <c r="C15" s="12">
        <v>0</v>
      </c>
      <c r="D15" s="12">
        <v>17704</v>
      </c>
      <c r="E15" s="12">
        <v>31044</v>
      </c>
      <c r="F15" s="12">
        <v>0</v>
      </c>
      <c r="G15" s="8">
        <f t="shared" si="0"/>
        <v>48748</v>
      </c>
      <c r="H15" s="7">
        <f t="shared" si="3"/>
        <v>0</v>
      </c>
      <c r="I15" s="23">
        <f t="shared" si="1"/>
        <v>48748</v>
      </c>
      <c r="J15" s="25"/>
      <c r="K15" s="1"/>
    </row>
    <row r="16" spans="1:43" ht="21.95" customHeight="1" thickBot="1" x14ac:dyDescent="0.35">
      <c r="A16" s="1"/>
      <c r="B16" s="9" t="s">
        <v>8</v>
      </c>
      <c r="C16" s="13">
        <v>0</v>
      </c>
      <c r="D16" s="13">
        <v>16249</v>
      </c>
      <c r="E16" s="13">
        <v>31044</v>
      </c>
      <c r="F16" s="13">
        <v>0</v>
      </c>
      <c r="G16" s="11">
        <f t="shared" si="0"/>
        <v>47293</v>
      </c>
      <c r="H16" s="10">
        <f t="shared" si="3"/>
        <v>0</v>
      </c>
      <c r="I16" s="24">
        <f t="shared" si="1"/>
        <v>47293</v>
      </c>
      <c r="J16" s="26"/>
      <c r="K16" s="1"/>
    </row>
    <row r="17" spans="1:13" ht="8.1999999999999993" customHeight="1" thickTop="1" thickBo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27" customHeight="1" thickTop="1" x14ac:dyDescent="0.3">
      <c r="A18" s="1"/>
      <c r="B18" s="38" t="s">
        <v>38</v>
      </c>
      <c r="C18" s="39"/>
      <c r="D18" s="39"/>
      <c r="E18" s="39"/>
      <c r="F18" s="39"/>
      <c r="G18" s="39"/>
      <c r="H18" s="40" t="s">
        <v>41</v>
      </c>
      <c r="I18" s="40"/>
      <c r="J18" s="37">
        <v>0.02</v>
      </c>
      <c r="K18" s="1"/>
      <c r="M18" s="34"/>
    </row>
    <row r="19" spans="1:13" ht="38.950000000000003" customHeight="1" x14ac:dyDescent="0.3">
      <c r="A19" s="1"/>
      <c r="B19" s="3" t="s">
        <v>11</v>
      </c>
      <c r="C19" s="4" t="s">
        <v>2</v>
      </c>
      <c r="D19" s="4" t="s">
        <v>14</v>
      </c>
      <c r="E19" s="4" t="s">
        <v>15</v>
      </c>
      <c r="F19" s="4" t="str">
        <f>F10</f>
        <v>月補償金</v>
      </c>
      <c r="G19" s="5" t="s">
        <v>0</v>
      </c>
      <c r="H19" s="4" t="s">
        <v>12</v>
      </c>
      <c r="I19" s="5" t="s">
        <v>1</v>
      </c>
      <c r="J19" s="27" t="s">
        <v>9</v>
      </c>
      <c r="K19" s="1"/>
    </row>
    <row r="20" spans="1:13" ht="21.95" customHeight="1" x14ac:dyDescent="0.3">
      <c r="A20" s="1"/>
      <c r="B20" s="6" t="s">
        <v>3</v>
      </c>
      <c r="C20" s="7">
        <f t="shared" ref="C20:C25" si="4">C11</f>
        <v>0</v>
      </c>
      <c r="D20" s="7">
        <f>IF(OR($J$7=0,$J$7=1),0,ROUNDUP(D11*(1+$J$18),0))</f>
        <v>23996</v>
      </c>
      <c r="E20" s="7">
        <f>IF(OR($J$7=0,$J$7=1),0,ROUNDUP(E11*(1+$J$18),0))</f>
        <v>31665</v>
      </c>
      <c r="F20" s="7">
        <f>IF(OR($J$7=0,$J$7=1),0,IF($D$5="月撫卹金",F11,ROUNDUP(F11*(1+$J$18),0)))</f>
        <v>0</v>
      </c>
      <c r="G20" s="8">
        <f t="shared" ref="G20:G25" si="5">C20+D20+E20+F20</f>
        <v>55661</v>
      </c>
      <c r="H20" s="7">
        <f t="shared" ref="H20:H25" si="6">H11</f>
        <v>0</v>
      </c>
      <c r="I20" s="14">
        <f t="shared" ref="I20:I25" si="7">G20+H20</f>
        <v>55661</v>
      </c>
      <c r="J20" s="16">
        <f>IF(OR($J$7=0,$J$7=1),0,I20-I11)</f>
        <v>1092</v>
      </c>
      <c r="K20" s="1"/>
    </row>
    <row r="21" spans="1:13" ht="21.95" customHeight="1" x14ac:dyDescent="0.3">
      <c r="A21" s="1"/>
      <c r="B21" s="6" t="s">
        <v>4</v>
      </c>
      <c r="C21" s="7">
        <f t="shared" si="4"/>
        <v>0</v>
      </c>
      <c r="D21" s="7">
        <f t="shared" ref="D21:E21" si="8">IF(OR($J$7=0,$J$7=1),0,ROUNDUP(D12*(1+$J$18),0))</f>
        <v>22511</v>
      </c>
      <c r="E21" s="7">
        <f t="shared" si="8"/>
        <v>31665</v>
      </c>
      <c r="F21" s="7">
        <f t="shared" ref="F21:F25" si="9">IF(OR($J$7=0,$J$7=1),0,IF($D$5="月撫卹金",F12,ROUNDUP(F12*(1+$J$18),0)))</f>
        <v>0</v>
      </c>
      <c r="G21" s="8">
        <f t="shared" si="5"/>
        <v>54176</v>
      </c>
      <c r="H21" s="7">
        <f t="shared" si="6"/>
        <v>0</v>
      </c>
      <c r="I21" s="14">
        <f t="shared" si="7"/>
        <v>54176</v>
      </c>
      <c r="J21" s="16">
        <f t="shared" ref="J21:J25" si="10">IF(OR($J$7=0,$J$7=1),0,I21-I12)</f>
        <v>1063</v>
      </c>
      <c r="K21" s="1"/>
    </row>
    <row r="22" spans="1:13" ht="21.95" customHeight="1" x14ac:dyDescent="0.3">
      <c r="A22" s="1"/>
      <c r="B22" s="6" t="s">
        <v>5</v>
      </c>
      <c r="C22" s="7">
        <f t="shared" si="4"/>
        <v>0</v>
      </c>
      <c r="D22" s="7">
        <f t="shared" ref="D22:E22" si="11">IF(OR($J$7=0,$J$7=1),0,ROUNDUP(D13*(1+$J$18),0))</f>
        <v>21027</v>
      </c>
      <c r="E22" s="7">
        <f t="shared" si="11"/>
        <v>31665</v>
      </c>
      <c r="F22" s="7">
        <f t="shared" si="9"/>
        <v>0</v>
      </c>
      <c r="G22" s="8">
        <f t="shared" si="5"/>
        <v>52692</v>
      </c>
      <c r="H22" s="7">
        <f t="shared" si="6"/>
        <v>0</v>
      </c>
      <c r="I22" s="14">
        <f t="shared" si="7"/>
        <v>52692</v>
      </c>
      <c r="J22" s="16">
        <f t="shared" si="10"/>
        <v>1034</v>
      </c>
      <c r="K22" s="1"/>
    </row>
    <row r="23" spans="1:13" ht="21.95" customHeight="1" x14ac:dyDescent="0.3">
      <c r="A23" s="1"/>
      <c r="B23" s="6" t="s">
        <v>6</v>
      </c>
      <c r="C23" s="7">
        <f t="shared" si="4"/>
        <v>0</v>
      </c>
      <c r="D23" s="7">
        <f t="shared" ref="D23:E23" si="12">IF(OR($J$7=0,$J$7=1),0,ROUNDUP(D14*(1+$J$18),0))</f>
        <v>19543</v>
      </c>
      <c r="E23" s="7">
        <f t="shared" si="12"/>
        <v>31665</v>
      </c>
      <c r="F23" s="7">
        <f t="shared" si="9"/>
        <v>0</v>
      </c>
      <c r="G23" s="8">
        <f t="shared" si="5"/>
        <v>51208</v>
      </c>
      <c r="H23" s="7">
        <f t="shared" si="6"/>
        <v>0</v>
      </c>
      <c r="I23" s="14">
        <f t="shared" si="7"/>
        <v>51208</v>
      </c>
      <c r="J23" s="16">
        <f t="shared" si="10"/>
        <v>1005</v>
      </c>
      <c r="K23" s="1"/>
    </row>
    <row r="24" spans="1:13" ht="21.95" customHeight="1" x14ac:dyDescent="0.3">
      <c r="A24" s="1"/>
      <c r="B24" s="6" t="s">
        <v>7</v>
      </c>
      <c r="C24" s="7">
        <f t="shared" si="4"/>
        <v>0</v>
      </c>
      <c r="D24" s="7">
        <f t="shared" ref="D24:E24" si="13">IF(OR($J$7=0,$J$7=1),0,ROUNDUP(D15*(1+$J$18),0))</f>
        <v>18059</v>
      </c>
      <c r="E24" s="7">
        <f t="shared" si="13"/>
        <v>31665</v>
      </c>
      <c r="F24" s="7">
        <f t="shared" si="9"/>
        <v>0</v>
      </c>
      <c r="G24" s="8">
        <f t="shared" si="5"/>
        <v>49724</v>
      </c>
      <c r="H24" s="7">
        <f t="shared" si="6"/>
        <v>0</v>
      </c>
      <c r="I24" s="14">
        <f t="shared" si="7"/>
        <v>49724</v>
      </c>
      <c r="J24" s="16">
        <f t="shared" si="10"/>
        <v>976</v>
      </c>
      <c r="K24" s="1"/>
    </row>
    <row r="25" spans="1:13" ht="21.95" customHeight="1" thickBot="1" x14ac:dyDescent="0.35">
      <c r="A25" s="1"/>
      <c r="B25" s="9" t="s">
        <v>8</v>
      </c>
      <c r="C25" s="10">
        <f t="shared" si="4"/>
        <v>0</v>
      </c>
      <c r="D25" s="10">
        <f t="shared" ref="D25:E25" si="14">IF(OR($J$7=0,$J$7=1),0,ROUNDUP(D16*(1+$J$18),0))</f>
        <v>16574</v>
      </c>
      <c r="E25" s="10">
        <f t="shared" si="14"/>
        <v>31665</v>
      </c>
      <c r="F25" s="10">
        <f t="shared" si="9"/>
        <v>0</v>
      </c>
      <c r="G25" s="11">
        <f t="shared" si="5"/>
        <v>48239</v>
      </c>
      <c r="H25" s="10">
        <f t="shared" si="6"/>
        <v>0</v>
      </c>
      <c r="I25" s="15">
        <f t="shared" si="7"/>
        <v>48239</v>
      </c>
      <c r="J25" s="17">
        <f t="shared" si="10"/>
        <v>946</v>
      </c>
      <c r="K25" s="1"/>
    </row>
    <row r="26" spans="1:13" ht="8.1999999999999993" customHeight="1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3" ht="27" customHeight="1" thickTop="1" x14ac:dyDescent="0.3">
      <c r="A27" s="1"/>
      <c r="B27" s="38" t="s">
        <v>39</v>
      </c>
      <c r="C27" s="39"/>
      <c r="D27" s="39"/>
      <c r="E27" s="39"/>
      <c r="F27" s="39"/>
      <c r="G27" s="39"/>
      <c r="H27" s="40" t="s">
        <v>41</v>
      </c>
      <c r="I27" s="40"/>
      <c r="J27" s="37">
        <v>0.04</v>
      </c>
      <c r="K27" s="1"/>
    </row>
    <row r="28" spans="1:13" ht="38.950000000000003" customHeight="1" x14ac:dyDescent="0.3">
      <c r="A28" s="1"/>
      <c r="B28" s="3" t="s">
        <v>11</v>
      </c>
      <c r="C28" s="4" t="s">
        <v>2</v>
      </c>
      <c r="D28" s="4" t="s">
        <v>14</v>
      </c>
      <c r="E28" s="4" t="s">
        <v>15</v>
      </c>
      <c r="F28" s="4" t="str">
        <f>F19</f>
        <v>月補償金</v>
      </c>
      <c r="G28" s="5" t="s">
        <v>0</v>
      </c>
      <c r="H28" s="4" t="s">
        <v>12</v>
      </c>
      <c r="I28" s="5" t="s">
        <v>1</v>
      </c>
      <c r="J28" s="27" t="s">
        <v>9</v>
      </c>
      <c r="K28" s="1"/>
    </row>
    <row r="29" spans="1:13" ht="21.95" customHeight="1" x14ac:dyDescent="0.3">
      <c r="A29" s="1"/>
      <c r="B29" s="6" t="s">
        <v>3</v>
      </c>
      <c r="C29" s="7">
        <f t="shared" ref="C29:C34" si="15">C20</f>
        <v>0</v>
      </c>
      <c r="D29" s="7">
        <f>IF($J$7=1,ROUNDUP(D11*(1+$J$27),0),ROUNDUP(D20*(1+$J$27),0))</f>
        <v>24956</v>
      </c>
      <c r="E29" s="7">
        <f>IF($J$7=1,ROUNDUP(E11*(1+$J$27),0),ROUNDUP(E20*(1+$J$27),0))</f>
        <v>32932</v>
      </c>
      <c r="F29" s="7">
        <f>IF($D$5="月撫卹金",F20,IF($J$7=1,ROUNDUP(F11*(1+$J$27),0),ROUNDUP(F20*(1+$J$27),0)))</f>
        <v>0</v>
      </c>
      <c r="G29" s="8">
        <f t="shared" ref="G29:G34" si="16">C29+D29+E29+F29</f>
        <v>57888</v>
      </c>
      <c r="H29" s="7">
        <f t="shared" ref="H29:H34" si="17">H20</f>
        <v>0</v>
      </c>
      <c r="I29" s="14">
        <f t="shared" ref="I29:I34" si="18">G29+H29</f>
        <v>57888</v>
      </c>
      <c r="J29" s="16">
        <f>IF($J$7=1,I29-I11,I29-I20)</f>
        <v>2227</v>
      </c>
      <c r="K29" s="1"/>
    </row>
    <row r="30" spans="1:13" ht="21.95" customHeight="1" x14ac:dyDescent="0.3">
      <c r="A30" s="1"/>
      <c r="B30" s="6" t="s">
        <v>4</v>
      </c>
      <c r="C30" s="7">
        <f t="shared" si="15"/>
        <v>0</v>
      </c>
      <c r="D30" s="7">
        <f t="shared" ref="D30:E30" si="19">IF($J$7=1,ROUNDUP(D12*(1+$J$27),0),ROUNDUP(D21*(1+$J$27),0))</f>
        <v>23412</v>
      </c>
      <c r="E30" s="7">
        <f t="shared" si="19"/>
        <v>32932</v>
      </c>
      <c r="F30" s="7">
        <f t="shared" ref="F30:F34" si="20">IF($D$5="月撫卹金",F21,IF($J$7=1,ROUNDUP(F12*(1+$J$27),0),ROUNDUP(F21*(1+$J$27),0)))</f>
        <v>0</v>
      </c>
      <c r="G30" s="8">
        <f t="shared" si="16"/>
        <v>56344</v>
      </c>
      <c r="H30" s="7">
        <f t="shared" si="17"/>
        <v>0</v>
      </c>
      <c r="I30" s="14">
        <f t="shared" si="18"/>
        <v>56344</v>
      </c>
      <c r="J30" s="16">
        <f t="shared" ref="J30:J34" si="21">IF($J$7=1,I30-I12,I30-I21)</f>
        <v>2168</v>
      </c>
      <c r="K30" s="1"/>
    </row>
    <row r="31" spans="1:13" ht="21.95" customHeight="1" x14ac:dyDescent="0.3">
      <c r="A31" s="1"/>
      <c r="B31" s="6" t="s">
        <v>5</v>
      </c>
      <c r="C31" s="7">
        <f t="shared" si="15"/>
        <v>0</v>
      </c>
      <c r="D31" s="7">
        <f t="shared" ref="D31:E31" si="22">IF($J$7=1,ROUNDUP(D13*(1+$J$27),0),ROUNDUP(D22*(1+$J$27),0))</f>
        <v>21869</v>
      </c>
      <c r="E31" s="7">
        <f t="shared" si="22"/>
        <v>32932</v>
      </c>
      <c r="F31" s="7">
        <f t="shared" si="20"/>
        <v>0</v>
      </c>
      <c r="G31" s="8">
        <f t="shared" si="16"/>
        <v>54801</v>
      </c>
      <c r="H31" s="7">
        <f t="shared" si="17"/>
        <v>0</v>
      </c>
      <c r="I31" s="14">
        <f t="shared" si="18"/>
        <v>54801</v>
      </c>
      <c r="J31" s="16">
        <f t="shared" si="21"/>
        <v>2109</v>
      </c>
      <c r="K31" s="1"/>
    </row>
    <row r="32" spans="1:13" ht="21.95" customHeight="1" x14ac:dyDescent="0.3">
      <c r="A32" s="1"/>
      <c r="B32" s="6" t="s">
        <v>6</v>
      </c>
      <c r="C32" s="7">
        <f t="shared" si="15"/>
        <v>0</v>
      </c>
      <c r="D32" s="7">
        <f t="shared" ref="D32:E32" si="23">IF($J$7=1,ROUNDUP(D14*(1+$J$27),0),ROUNDUP(D23*(1+$J$27),0))</f>
        <v>20325</v>
      </c>
      <c r="E32" s="7">
        <f t="shared" si="23"/>
        <v>32932</v>
      </c>
      <c r="F32" s="7">
        <f t="shared" si="20"/>
        <v>0</v>
      </c>
      <c r="G32" s="8">
        <f t="shared" si="16"/>
        <v>53257</v>
      </c>
      <c r="H32" s="7">
        <f t="shared" si="17"/>
        <v>0</v>
      </c>
      <c r="I32" s="14">
        <f t="shared" si="18"/>
        <v>53257</v>
      </c>
      <c r="J32" s="16">
        <f t="shared" si="21"/>
        <v>2049</v>
      </c>
      <c r="K32" s="1"/>
    </row>
    <row r="33" spans="1:11" ht="21.95" customHeight="1" x14ac:dyDescent="0.3">
      <c r="A33" s="1"/>
      <c r="B33" s="6" t="s">
        <v>7</v>
      </c>
      <c r="C33" s="7">
        <f t="shared" si="15"/>
        <v>0</v>
      </c>
      <c r="D33" s="7">
        <f t="shared" ref="D33:E33" si="24">IF($J$7=1,ROUNDUP(D15*(1+$J$27),0),ROUNDUP(D24*(1+$J$27),0))</f>
        <v>18782</v>
      </c>
      <c r="E33" s="7">
        <f t="shared" si="24"/>
        <v>32932</v>
      </c>
      <c r="F33" s="7">
        <f t="shared" si="20"/>
        <v>0</v>
      </c>
      <c r="G33" s="8">
        <f t="shared" si="16"/>
        <v>51714</v>
      </c>
      <c r="H33" s="7">
        <f t="shared" si="17"/>
        <v>0</v>
      </c>
      <c r="I33" s="14">
        <f t="shared" si="18"/>
        <v>51714</v>
      </c>
      <c r="J33" s="16">
        <f t="shared" si="21"/>
        <v>1990</v>
      </c>
      <c r="K33" s="1"/>
    </row>
    <row r="34" spans="1:11" ht="21.95" customHeight="1" thickBot="1" x14ac:dyDescent="0.35">
      <c r="A34" s="1"/>
      <c r="B34" s="9" t="s">
        <v>8</v>
      </c>
      <c r="C34" s="10">
        <f t="shared" si="15"/>
        <v>0</v>
      </c>
      <c r="D34" s="10">
        <f t="shared" ref="D34:E34" si="25">IF($J$7=1,ROUNDUP(D16*(1+$J$27),0),ROUNDUP(D25*(1+$J$27),0))</f>
        <v>17237</v>
      </c>
      <c r="E34" s="10">
        <f t="shared" si="25"/>
        <v>32932</v>
      </c>
      <c r="F34" s="10">
        <f t="shared" si="20"/>
        <v>0</v>
      </c>
      <c r="G34" s="11">
        <f t="shared" si="16"/>
        <v>50169</v>
      </c>
      <c r="H34" s="10">
        <f t="shared" si="17"/>
        <v>0</v>
      </c>
      <c r="I34" s="15">
        <f t="shared" si="18"/>
        <v>50169</v>
      </c>
      <c r="J34" s="17">
        <f t="shared" si="21"/>
        <v>1930</v>
      </c>
      <c r="K34" s="1"/>
    </row>
    <row r="35" spans="1:11" ht="8.1999999999999993" customHeight="1" thickTop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33.049999999999997" customHeight="1" x14ac:dyDescent="0.3">
      <c r="A36" s="1"/>
      <c r="B36" s="28" t="s">
        <v>24</v>
      </c>
      <c r="C36" s="42" t="s">
        <v>43</v>
      </c>
      <c r="D36" s="43"/>
      <c r="E36" s="43"/>
      <c r="F36" s="43"/>
      <c r="G36" s="43"/>
      <c r="H36" s="43"/>
      <c r="I36" s="43"/>
      <c r="J36" s="43"/>
      <c r="K36" s="1"/>
    </row>
    <row r="37" spans="1:11" ht="20.3" customHeight="1" x14ac:dyDescent="0.3">
      <c r="A37" s="1"/>
      <c r="B37" s="29" t="s">
        <v>25</v>
      </c>
      <c r="C37" s="44" t="s">
        <v>26</v>
      </c>
      <c r="D37" s="45"/>
      <c r="E37" s="45"/>
      <c r="F37" s="45"/>
      <c r="G37" s="45"/>
      <c r="H37" s="45"/>
      <c r="I37" s="45"/>
      <c r="J37" s="45"/>
      <c r="K37" s="1"/>
    </row>
  </sheetData>
  <sheetProtection password="ADE5" sheet="1" objects="1" scenarios="1"/>
  <mergeCells count="15">
    <mergeCell ref="A1:K1"/>
    <mergeCell ref="B3:C3"/>
    <mergeCell ref="D3:G3"/>
    <mergeCell ref="I3:J3"/>
    <mergeCell ref="B7:C7"/>
    <mergeCell ref="B5:C5"/>
    <mergeCell ref="D5:F5"/>
    <mergeCell ref="B27:G27"/>
    <mergeCell ref="H27:I27"/>
    <mergeCell ref="H9:J9"/>
    <mergeCell ref="C36:J36"/>
    <mergeCell ref="C37:J37"/>
    <mergeCell ref="B9:G9"/>
    <mergeCell ref="B18:G18"/>
    <mergeCell ref="H18:I18"/>
  </mergeCells>
  <phoneticPr fontId="1" type="noConversion"/>
  <conditionalFormatting sqref="B18:J25">
    <cfRule type="expression" dxfId="1" priority="4">
      <formula>OR($J$7=0,$J$7=1)</formula>
    </cfRule>
  </conditionalFormatting>
  <conditionalFormatting sqref="B29:J34">
    <cfRule type="expression" dxfId="0" priority="1">
      <formula>$J$7=0</formula>
    </cfRule>
  </conditionalFormatting>
  <dataValidations disablePrompts="1" count="1">
    <dataValidation type="list" allowBlank="1" showInputMessage="1" showErrorMessage="1" sqref="D5:F5" xr:uid="{00000000-0002-0000-0000-000000000000}">
      <formula1>$AP$5:$AP$13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高明賢</dc:creator>
  <cp:lastModifiedBy>高明賢臺北市審計處</cp:lastModifiedBy>
  <cp:lastPrinted>2023-10-16T03:04:18Z</cp:lastPrinted>
  <dcterms:created xsi:type="dcterms:W3CDTF">2022-04-23T23:58:13Z</dcterms:created>
  <dcterms:modified xsi:type="dcterms:W3CDTF">2024-02-29T11:27:01Z</dcterms:modified>
</cp:coreProperties>
</file>