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5225" windowHeight="8355" activeTab="0"/>
  </bookViews>
  <sheets>
    <sheet name="試算區" sheetId="1" r:id="rId1"/>
    <sheet name="工作表1" sheetId="2" r:id="rId2"/>
    <sheet name="工作表2" sheetId="3" r:id="rId3"/>
  </sheets>
  <definedNames>
    <definedName name="_xlnm.Print_Area" localSheetId="0">'試算區'!$B$1:$AD$114</definedName>
  </definedNames>
  <calcPr fullCalcOnLoad="1"/>
</workbook>
</file>

<file path=xl/sharedStrings.xml><?xml version="1.0" encoding="utf-8"?>
<sst xmlns="http://schemas.openxmlformats.org/spreadsheetml/2006/main" count="197" uniqueCount="162">
  <si>
    <t>年齡</t>
  </si>
  <si>
    <t>年</t>
  </si>
  <si>
    <t>月</t>
  </si>
  <si>
    <t>日</t>
  </si>
  <si>
    <t>年資</t>
  </si>
  <si>
    <t>合計</t>
  </si>
  <si>
    <t>月份</t>
  </si>
  <si>
    <t>答案</t>
  </si>
  <si>
    <t>完整</t>
  </si>
  <si>
    <t>指標差0</t>
  </si>
  <si>
    <t>指標差+1</t>
  </si>
  <si>
    <t>差0之退休日</t>
  </si>
  <si>
    <t>差0生效月</t>
  </si>
  <si>
    <t>但書</t>
  </si>
  <si>
    <t>中斷不計退休之年資：</t>
  </si>
  <si>
    <t>年</t>
  </si>
  <si>
    <t>月</t>
  </si>
  <si>
    <t>日</t>
  </si>
  <si>
    <t>屆齡無月退</t>
  </si>
  <si>
    <t>屆齡有月退</t>
  </si>
  <si>
    <t>結果用語</t>
  </si>
  <si>
    <t>民國</t>
  </si>
  <si>
    <t>到職日之前一日</t>
  </si>
  <si>
    <t>出生日期：</t>
  </si>
  <si>
    <t>初任日期：</t>
  </si>
  <si>
    <t>年</t>
  </si>
  <si>
    <t>月</t>
  </si>
  <si>
    <t>日</t>
  </si>
  <si>
    <t>（如有多段年資，請填合計數）</t>
  </si>
  <si>
    <t>曾任可併計退休年資：</t>
  </si>
  <si>
    <t>年</t>
  </si>
  <si>
    <t>月</t>
  </si>
  <si>
    <t>日</t>
  </si>
  <si>
    <t>（如有多段年資，請填合計數）</t>
  </si>
  <si>
    <t>初任之日</t>
  </si>
  <si>
    <t>初任之月次</t>
  </si>
  <si>
    <t>基準年</t>
  </si>
  <si>
    <t>當年足年生日日期</t>
  </si>
  <si>
    <t>生日月日</t>
  </si>
  <si>
    <t>當年足年初任日期</t>
  </si>
  <si>
    <t>初任月日</t>
  </si>
  <si>
    <t>生日及初任相比較
在先者</t>
  </si>
  <si>
    <t>生日及初任相比較
在後者</t>
  </si>
  <si>
    <t>條件是否成就</t>
  </si>
  <si>
    <t>條件成就類型</t>
  </si>
  <si>
    <t>成就時之指標數差</t>
  </si>
  <si>
    <t>序
號</t>
  </si>
  <si>
    <t>到職日</t>
  </si>
  <si>
    <t>離職日</t>
  </si>
  <si>
    <t>年資計算基準</t>
  </si>
  <si>
    <t>指標</t>
  </si>
  <si>
    <t>A用語</t>
  </si>
  <si>
    <t>B用語</t>
  </si>
  <si>
    <t>C用語</t>
  </si>
  <si>
    <t>合併</t>
  </si>
  <si>
    <t>年齡計算基準</t>
  </si>
  <si>
    <t>轉任西元</t>
  </si>
  <si>
    <t>年資初計</t>
  </si>
  <si>
    <t>年資增減結果</t>
  </si>
  <si>
    <t>差+1生效月</t>
  </si>
  <si>
    <t>差+1之退休日</t>
  </si>
  <si>
    <t>指標差+2以上</t>
  </si>
  <si>
    <t>差+2生效月</t>
  </si>
  <si>
    <t>差+2之退休日</t>
  </si>
  <si>
    <t>60退休日</t>
  </si>
  <si>
    <t>65退休日</t>
  </si>
  <si>
    <t>綜合</t>
  </si>
  <si>
    <t>屆齡年度</t>
  </si>
  <si>
    <t>首次符合年度</t>
  </si>
  <si>
    <t>小計</t>
  </si>
  <si>
    <t>　簡易年資計算器</t>
  </si>
  <si>
    <t>高中以下教師</t>
  </si>
  <si>
    <t>高中以下教師但書</t>
  </si>
  <si>
    <t>＆</t>
  </si>
  <si>
    <t>■</t>
  </si>
  <si>
    <t>85退休日</t>
  </si>
  <si>
    <t>60生效日</t>
  </si>
  <si>
    <t>85生效日</t>
  </si>
  <si>
    <t>65生效日</t>
  </si>
  <si>
    <t>高中以下教師各條件成就後之可以最早退休日期</t>
  </si>
  <si>
    <r>
      <t>年資加總結果</t>
    </r>
    <r>
      <rPr>
        <sz val="10"/>
        <rFont val="新細明體"/>
        <family val="1"/>
      </rPr>
      <t xml:space="preserve">
</t>
    </r>
    <r>
      <rPr>
        <sz val="11"/>
        <color indexed="20"/>
        <rFont val="新細明體"/>
        <family val="1"/>
      </rPr>
      <t>（請依時間先後輸入各段年資）</t>
    </r>
  </si>
  <si>
    <t>年度區間</t>
  </si>
  <si>
    <t>當年
法定
指標數</t>
  </si>
  <si>
    <t>當年實際指標數</t>
  </si>
  <si>
    <t>預審(1)</t>
  </si>
  <si>
    <t>預審(2)</t>
  </si>
  <si>
    <t>提前退休
申請月日</t>
  </si>
  <si>
    <t>生日日期</t>
  </si>
  <si>
    <t>初任日期</t>
  </si>
  <si>
    <t>在前者</t>
  </si>
  <si>
    <t>在後者</t>
  </si>
  <si>
    <t>★★</t>
  </si>
  <si>
    <t>展期1</t>
  </si>
  <si>
    <t>展期2</t>
  </si>
  <si>
    <t>減額</t>
  </si>
  <si>
    <t>全額月退休金：</t>
  </si>
  <si>
    <t>減額月退休金：</t>
  </si>
  <si>
    <t>【程式設計：審計部臺北市審計處人事室 高明賢 kau0914@ms23.hinet.net】</t>
  </si>
  <si>
    <t>年資增減後
重新推算初任日期</t>
  </si>
  <si>
    <r>
      <t xml:space="preserve">符合可擇領全額月退休金之起始年度
</t>
    </r>
    <r>
      <rPr>
        <sz val="10"/>
        <color indexed="10"/>
        <rFont val="新細明體"/>
        <family val="1"/>
      </rPr>
      <t>（請注意上方黃色區塊之【分析結果】說明）</t>
    </r>
  </si>
  <si>
    <t>生 日</t>
  </si>
  <si>
    <t>生日與初任較前者</t>
  </si>
  <si>
    <t>生日與初任較後者</t>
  </si>
  <si>
    <t>當年年齡</t>
  </si>
  <si>
    <t>當年年資</t>
  </si>
  <si>
    <t>初判符合年度</t>
  </si>
  <si>
    <t>符合之年度是否大於基本年資及年齡</t>
  </si>
  <si>
    <t>綜合上二者後判斷</t>
  </si>
  <si>
    <t>減額附註</t>
  </si>
  <si>
    <t>全額月退日期</t>
  </si>
  <si>
    <t>可提前退休日期</t>
  </si>
  <si>
    <t>減額</t>
  </si>
  <si>
    <t>展期</t>
  </si>
  <si>
    <t>初任</t>
  </si>
  <si>
    <t>配合學期</t>
  </si>
  <si>
    <t>全額月退日期(轉換)</t>
  </si>
  <si>
    <t>配合學期(轉換)</t>
  </si>
  <si>
    <r>
      <rPr>
        <b/>
        <sz val="12"/>
        <color indexed="12"/>
        <rFont val="新細明體"/>
        <family val="1"/>
      </rPr>
      <t>如不滿意上述日期</t>
    </r>
    <r>
      <rPr>
        <sz val="10"/>
        <color indexed="12"/>
        <rFont val="新細明體"/>
        <family val="1"/>
      </rPr>
      <t>，您亦可選擇申請提前退休，並依下列規定領取月退休金</t>
    </r>
    <r>
      <rPr>
        <b/>
        <sz val="12"/>
        <color indexed="12"/>
        <rFont val="新細明體"/>
        <family val="1"/>
      </rPr>
      <t>（僅能擇一適用）</t>
    </r>
    <r>
      <rPr>
        <sz val="12"/>
        <color indexed="12"/>
        <rFont val="新細明體"/>
        <family val="1"/>
      </rPr>
      <t>：</t>
    </r>
  </si>
  <si>
    <t>可提前退休日期(轉換)</t>
  </si>
  <si>
    <t>人員類別：</t>
  </si>
  <si>
    <t>65&amp;15</t>
  </si>
  <si>
    <t>原成就全額月退日期</t>
  </si>
  <si>
    <t>日期綜合</t>
  </si>
  <si>
    <t>原成就全額月退年度</t>
  </si>
  <si>
    <t>原成就全額月退指標數差</t>
  </si>
  <si>
    <t>生日轉換</t>
  </si>
  <si>
    <t>初任轉換</t>
  </si>
  <si>
    <t>指標差0</t>
  </si>
  <si>
    <t>指標差2</t>
  </si>
  <si>
    <t>指標差1</t>
  </si>
  <si>
    <t>以下綜合判斷</t>
  </si>
  <si>
    <t>轉換用語-指標差0</t>
  </si>
  <si>
    <t>轉換用語-指標差1</t>
  </si>
  <si>
    <t>轉換用語-指標差2</t>
  </si>
  <si>
    <t>展期
綜合</t>
  </si>
  <si>
    <t>實際
退休</t>
  </si>
  <si>
    <r>
      <t xml:space="preserve">提前退休
</t>
    </r>
    <r>
      <rPr>
        <sz val="9"/>
        <color indexed="10"/>
        <rFont val="新細明體"/>
        <family val="1"/>
      </rPr>
      <t>減額年金</t>
    </r>
  </si>
  <si>
    <r>
      <t xml:space="preserve">提前退休
</t>
    </r>
    <r>
      <rPr>
        <sz val="9"/>
        <color indexed="10"/>
        <rFont val="新細明體"/>
        <family val="1"/>
      </rPr>
      <t>展期年金</t>
    </r>
  </si>
  <si>
    <t>有50歲限制</t>
  </si>
  <si>
    <t>無50歲限制</t>
  </si>
  <si>
    <t>配合學期</t>
  </si>
  <si>
    <t>配合學期(轉換)</t>
  </si>
  <si>
    <t>展期當年年資足年日</t>
  </si>
  <si>
    <t>展期當年年資足年日(轉換)</t>
  </si>
  <si>
    <t>本項係指於「年資滿25年」時先行退休，但迄屆滿58歲，才能領取月退休金。</t>
  </si>
  <si>
    <t>本項係指於「年資滿25年&amp;年齡滿53歲」時，先退休並立即領取月退休金；但須以58歲為基準，每提前1年減發 4%月退休金。</t>
  </si>
  <si>
    <t>58歲
再領</t>
  </si>
  <si>
    <t>最早
53歲</t>
  </si>
  <si>
    <t>法定年齡</t>
  </si>
  <si>
    <t>滿55及指標數退休日</t>
  </si>
  <si>
    <t>實際退休年度</t>
  </si>
  <si>
    <t>成就年度</t>
  </si>
  <si>
    <t>實際退休年度之年齡</t>
  </si>
  <si>
    <t>第二階段滿55之指標</t>
  </si>
  <si>
    <t>符合指標年</t>
  </si>
  <si>
    <t>58生效日</t>
  </si>
  <si>
    <t>58退休日</t>
  </si>
  <si>
    <t>滿58&amp;25退休日</t>
  </si>
  <si>
    <t>綜合實際退休日期</t>
  </si>
  <si>
    <t>58&amp;25或60&amp;15</t>
  </si>
  <si>
    <t>當年
法定
年齡</t>
  </si>
  <si>
    <r>
      <t>　年金改革</t>
    </r>
    <r>
      <rPr>
        <b/>
        <sz val="13"/>
        <color indexed="13"/>
        <rFont val="新細明體"/>
        <family val="1"/>
      </rPr>
      <t>高中以下教師</t>
    </r>
    <r>
      <rPr>
        <b/>
        <sz val="13"/>
        <color indexed="9"/>
        <rFont val="新細明體"/>
        <family val="1"/>
      </rPr>
      <t>得擇領月退休金起始年度分析程式（111.10.24）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</si>
</sst>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yyyy/m/d;@"/>
    <numFmt numFmtId="182" formatCode="0.00_ "/>
    <numFmt numFmtId="183" formatCode="[$-404]AM/PM\ hh:mm:ss"/>
    <numFmt numFmtId="184" formatCode="m&quot;月&quot;d&quot;日&quot;"/>
    <numFmt numFmtId="185" formatCode="yyyy&quot;年&quot;mm&quot;月&quot;dd&quot;日&quot;"/>
  </numFmts>
  <fonts count="11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1"/>
      <name val="新細明體"/>
      <family val="1"/>
    </font>
    <font>
      <sz val="9"/>
      <color indexed="20"/>
      <name val="新細明體"/>
      <family val="1"/>
    </font>
    <font>
      <sz val="10"/>
      <color indexed="20"/>
      <name val="新細明體"/>
      <family val="1"/>
    </font>
    <font>
      <b/>
      <sz val="10"/>
      <color indexed="8"/>
      <name val="新細明體"/>
      <family val="1"/>
    </font>
    <font>
      <sz val="10"/>
      <color indexed="12"/>
      <name val="新細明體"/>
      <family val="1"/>
    </font>
    <font>
      <sz val="9"/>
      <color indexed="54"/>
      <name val="新細明體"/>
      <family val="1"/>
    </font>
    <font>
      <sz val="12"/>
      <color indexed="14"/>
      <name val="新細明體"/>
      <family val="1"/>
    </font>
    <font>
      <sz val="10"/>
      <color indexed="17"/>
      <name val="新細明體"/>
      <family val="1"/>
    </font>
    <font>
      <sz val="10"/>
      <color indexed="9"/>
      <name val="新細明體"/>
      <family val="1"/>
    </font>
    <font>
      <b/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17"/>
      <name val="新細明體"/>
      <family val="1"/>
    </font>
    <font>
      <b/>
      <sz val="10"/>
      <color indexed="9"/>
      <name val="新細明體"/>
      <family val="1"/>
    </font>
    <font>
      <sz val="9"/>
      <color indexed="42"/>
      <name val="新細明體"/>
      <family val="1"/>
    </font>
    <font>
      <sz val="10"/>
      <color indexed="51"/>
      <name val="新細明體"/>
      <family val="1"/>
    </font>
    <font>
      <sz val="10"/>
      <name val="新細明體"/>
      <family val="1"/>
    </font>
    <font>
      <sz val="11"/>
      <color indexed="20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10"/>
      <color indexed="12"/>
      <name val="新細明體"/>
      <family val="1"/>
    </font>
    <font>
      <sz val="9"/>
      <color indexed="45"/>
      <name val="新細明體"/>
      <family val="1"/>
    </font>
    <font>
      <sz val="9"/>
      <color indexed="10"/>
      <name val="新細明體"/>
      <family val="1"/>
    </font>
    <font>
      <b/>
      <sz val="11"/>
      <color indexed="17"/>
      <name val="新細明體"/>
      <family val="1"/>
    </font>
    <font>
      <b/>
      <sz val="10"/>
      <color indexed="43"/>
      <name val="新細明體"/>
      <family val="1"/>
    </font>
    <font>
      <sz val="9"/>
      <color indexed="12"/>
      <name val="新細明體"/>
      <family val="1"/>
    </font>
    <font>
      <b/>
      <sz val="18"/>
      <color indexed="42"/>
      <name val="標楷體"/>
      <family val="4"/>
    </font>
    <font>
      <sz val="12"/>
      <color indexed="8"/>
      <name val="標楷體"/>
      <family val="4"/>
    </font>
    <font>
      <sz val="10"/>
      <color indexed="13"/>
      <name val="新細明體"/>
      <family val="1"/>
    </font>
    <font>
      <b/>
      <sz val="10"/>
      <color indexed="17"/>
      <name val="新細明體"/>
      <family val="1"/>
    </font>
    <font>
      <sz val="14"/>
      <color indexed="12"/>
      <name val="標楷體"/>
      <family val="4"/>
    </font>
    <font>
      <b/>
      <sz val="13"/>
      <color indexed="9"/>
      <name val="新細明體"/>
      <family val="1"/>
    </font>
    <font>
      <b/>
      <sz val="13"/>
      <color indexed="8"/>
      <name val="新細明體"/>
      <family val="1"/>
    </font>
    <font>
      <b/>
      <sz val="10"/>
      <color indexed="20"/>
      <name val="新細明體"/>
      <family val="1"/>
    </font>
    <font>
      <sz val="10"/>
      <color indexed="45"/>
      <name val="新細明體"/>
      <family val="1"/>
    </font>
    <font>
      <sz val="11"/>
      <color indexed="12"/>
      <name val="新細明體"/>
      <family val="1"/>
    </font>
    <font>
      <sz val="11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14"/>
      <name val="新細明體"/>
      <family val="1"/>
    </font>
    <font>
      <b/>
      <sz val="13"/>
      <color indexed="13"/>
      <name val="新細明體"/>
      <family val="1"/>
    </font>
    <font>
      <sz val="8"/>
      <color indexed="8"/>
      <name val="新細明體"/>
      <family val="1"/>
    </font>
    <font>
      <sz val="6"/>
      <color indexed="8"/>
      <name val="新細明體"/>
      <family val="1"/>
    </font>
    <font>
      <b/>
      <sz val="12"/>
      <color indexed="12"/>
      <name val="新細明體"/>
      <family val="1"/>
    </font>
    <font>
      <sz val="7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8"/>
      <color indexed="30"/>
      <name val="新細明體"/>
      <family val="1"/>
    </font>
    <font>
      <sz val="8"/>
      <color indexed="10"/>
      <name val="新細明體"/>
      <family val="1"/>
    </font>
    <font>
      <sz val="6"/>
      <color indexed="10"/>
      <name val="新細明體"/>
      <family val="1"/>
    </font>
    <font>
      <sz val="10"/>
      <color indexed="53"/>
      <name val="新細明體"/>
      <family val="1"/>
    </font>
    <font>
      <sz val="10"/>
      <color indexed="30"/>
      <name val="新細明體"/>
      <family val="1"/>
    </font>
    <font>
      <b/>
      <sz val="13"/>
      <color indexed="10"/>
      <name val="新細明體"/>
      <family val="1"/>
    </font>
    <font>
      <sz val="10"/>
      <color indexed="55"/>
      <name val="新細明體"/>
      <family val="1"/>
    </font>
    <font>
      <sz val="10"/>
      <color indexed="25"/>
      <name val="新細明體"/>
      <family val="1"/>
    </font>
    <font>
      <b/>
      <sz val="12"/>
      <color indexed="54"/>
      <name val="新細明體"/>
      <family val="1"/>
    </font>
    <font>
      <sz val="12"/>
      <color indexed="13"/>
      <name val="新細明體"/>
      <family val="1"/>
    </font>
    <font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FF00"/>
      <name val="新細明體"/>
      <family val="1"/>
    </font>
    <font>
      <sz val="10"/>
      <color rgb="FF008000"/>
      <name val="新細明體"/>
      <family val="1"/>
    </font>
    <font>
      <b/>
      <sz val="10"/>
      <color rgb="FF008000"/>
      <name val="新細明體"/>
      <family val="1"/>
    </font>
    <font>
      <sz val="10"/>
      <color theme="0"/>
      <name val="新細明體"/>
      <family val="1"/>
    </font>
    <font>
      <b/>
      <sz val="10"/>
      <color theme="0"/>
      <name val="新細明體"/>
      <family val="1"/>
    </font>
    <font>
      <sz val="9"/>
      <color rgb="FF0000CC"/>
      <name val="Calibri"/>
      <family val="1"/>
    </font>
    <font>
      <sz val="9"/>
      <color theme="1"/>
      <name val="Calibri"/>
      <family val="1"/>
    </font>
    <font>
      <sz val="10"/>
      <color theme="1"/>
      <name val="新細明體"/>
      <family val="1"/>
    </font>
    <font>
      <sz val="8"/>
      <color rgb="FF0070C0"/>
      <name val="新細明體"/>
      <family val="1"/>
    </font>
    <font>
      <sz val="8"/>
      <color rgb="FFFF0000"/>
      <name val="新細明體"/>
      <family val="1"/>
    </font>
    <font>
      <sz val="8"/>
      <color theme="1"/>
      <name val="新細明體"/>
      <family val="1"/>
    </font>
    <font>
      <sz val="6"/>
      <color rgb="FFFF0000"/>
      <name val="新細明體"/>
      <family val="1"/>
    </font>
    <font>
      <sz val="10"/>
      <color rgb="FFFF0000"/>
      <name val="新細明體"/>
      <family val="1"/>
    </font>
    <font>
      <sz val="10"/>
      <color theme="9" tint="-0.24997000396251678"/>
      <name val="新細明體"/>
      <family val="1"/>
    </font>
    <font>
      <sz val="10"/>
      <color rgb="FF0070C0"/>
      <name val="新細明體"/>
      <family val="1"/>
    </font>
    <font>
      <sz val="9"/>
      <color rgb="FFFF0000"/>
      <name val="新細明體"/>
      <family val="1"/>
    </font>
    <font>
      <sz val="7"/>
      <color theme="1"/>
      <name val="新細明體"/>
      <family val="1"/>
    </font>
    <font>
      <b/>
      <sz val="13"/>
      <color rgb="FFFF0000"/>
      <name val="新細明體"/>
      <family val="1"/>
    </font>
    <font>
      <sz val="10"/>
      <color theme="0" tint="-0.24997000396251678"/>
      <name val="新細明體"/>
      <family val="1"/>
    </font>
    <font>
      <b/>
      <sz val="13"/>
      <color rgb="FFFF0000"/>
      <name val="Calibri"/>
      <family val="1"/>
    </font>
    <font>
      <sz val="10"/>
      <color theme="1"/>
      <name val="Calibri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double"/>
      <right style="dotted"/>
      <top>
        <color indexed="63"/>
      </top>
      <bottom style="thin"/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n"/>
      <top style="thin"/>
      <bottom style="thick"/>
    </border>
    <border>
      <left style="double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thin"/>
    </border>
    <border>
      <left style="thick">
        <color indexed="47"/>
      </left>
      <right>
        <color indexed="63"/>
      </right>
      <top style="thick">
        <color indexed="47"/>
      </top>
      <bottom style="thick">
        <color indexed="47"/>
      </bottom>
    </border>
    <border>
      <left style="thick">
        <color indexed="42"/>
      </left>
      <right style="thick">
        <color indexed="17"/>
      </right>
      <top>
        <color indexed="63"/>
      </top>
      <bottom style="thick">
        <color indexed="42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42"/>
      </bottom>
    </border>
    <border>
      <left style="thick">
        <color indexed="17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 style="double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tted"/>
      <top style="thick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tted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double"/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tted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1" fillId="0" borderId="0" applyFont="0" applyFill="0" applyBorder="0" applyAlignment="0" applyProtection="0"/>
    <xf numFmtId="0" fontId="8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0" borderId="3" applyNumberFormat="0" applyFill="0" applyAlignment="0" applyProtection="0"/>
    <xf numFmtId="0" fontId="1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594"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vertical="center" wrapText="1" shrinkToFit="1"/>
      <protection hidden="1"/>
    </xf>
    <xf numFmtId="0" fontId="15" fillId="34" borderId="0" xfId="0" applyFont="1" applyFill="1" applyAlignment="1" applyProtection="1">
      <alignment horizontal="center" vertical="center" wrapText="1"/>
      <protection hidden="1"/>
    </xf>
    <xf numFmtId="0" fontId="8" fillId="34" borderId="0" xfId="0" applyFont="1" applyFill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16" fillId="34" borderId="0" xfId="45" applyFont="1" applyFill="1" applyAlignment="1" applyProtection="1">
      <alignment horizontal="center" vertical="center"/>
      <protection hidden="1"/>
    </xf>
    <xf numFmtId="0" fontId="16" fillId="34" borderId="0" xfId="45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 shrinkToFit="1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Alignment="1" applyProtection="1">
      <alignment horizontal="center" vertical="center" wrapText="1"/>
      <protection hidden="1"/>
    </xf>
    <xf numFmtId="0" fontId="8" fillId="35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9" fillId="36" borderId="0" xfId="0" applyFont="1" applyFill="1" applyBorder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vertical="center" wrapText="1"/>
      <protection hidden="1"/>
    </xf>
    <xf numFmtId="0" fontId="8" fillId="36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14" fillId="36" borderId="10" xfId="45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37" borderId="11" xfId="0" applyFont="1" applyFill="1" applyBorder="1" applyAlignment="1" applyProtection="1">
      <alignment vertical="center" wrapText="1"/>
      <protection hidden="1"/>
    </xf>
    <xf numFmtId="0" fontId="8" fillId="37" borderId="12" xfId="0" applyFont="1" applyFill="1" applyBorder="1" applyAlignment="1" applyProtection="1">
      <alignment vertical="center" wrapText="1"/>
      <protection hidden="1"/>
    </xf>
    <xf numFmtId="0" fontId="23" fillId="36" borderId="0" xfId="0" applyFont="1" applyFill="1" applyAlignment="1" applyProtection="1">
      <alignment horizontal="center" vertical="center" wrapText="1"/>
      <protection hidden="1"/>
    </xf>
    <xf numFmtId="0" fontId="24" fillId="36" borderId="0" xfId="0" applyFont="1" applyFill="1" applyAlignment="1" applyProtection="1">
      <alignment horizontal="center" vertical="center" wrapText="1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23" fillId="36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 wrapText="1" shrinkToFit="1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Alignment="1" applyProtection="1">
      <alignment vertical="center" wrapText="1"/>
      <protection hidden="1"/>
    </xf>
    <xf numFmtId="0" fontId="8" fillId="37" borderId="11" xfId="0" applyFont="1" applyFill="1" applyBorder="1" applyAlignment="1" applyProtection="1">
      <alignment horizontal="center" vertical="center" wrapText="1"/>
      <protection hidden="1"/>
    </xf>
    <xf numFmtId="0" fontId="8" fillId="37" borderId="12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Border="1" applyAlignment="1" applyProtection="1">
      <alignment horizontal="center" vertical="center"/>
      <protection hidden="1"/>
    </xf>
    <xf numFmtId="0" fontId="19" fillId="36" borderId="0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" fillId="33" borderId="0" xfId="0" applyFont="1" applyFill="1" applyAlignment="1" applyProtection="1">
      <alignment horizontal="center" vertical="center" shrinkToFi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/>
      <protection hidden="1"/>
    </xf>
    <xf numFmtId="0" fontId="8" fillId="39" borderId="0" xfId="0" applyFont="1" applyFill="1" applyAlignment="1" applyProtection="1">
      <alignment vertical="center" wrapText="1" shrinkToFit="1"/>
      <protection hidden="1"/>
    </xf>
    <xf numFmtId="0" fontId="8" fillId="40" borderId="0" xfId="0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41" borderId="0" xfId="0" applyFont="1" applyFill="1" applyAlignment="1" applyProtection="1">
      <alignment vertical="center" wrapText="1" shrinkToFi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 hidden="1"/>
    </xf>
    <xf numFmtId="9" fontId="8" fillId="0" borderId="0" xfId="0" applyNumberFormat="1" applyFont="1" applyAlignment="1" applyProtection="1">
      <alignment horizontal="center"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>
      <alignment horizontal="center" vertical="center" wrapText="1" shrinkToFit="1"/>
    </xf>
    <xf numFmtId="0" fontId="8" fillId="42" borderId="0" xfId="0" applyFont="1" applyFill="1" applyAlignment="1" applyProtection="1">
      <alignment horizontal="center" vertical="center" wrapText="1" shrinkToFit="1"/>
      <protection hidden="1"/>
    </xf>
    <xf numFmtId="0" fontId="8" fillId="42" borderId="0" xfId="0" applyFont="1" applyFill="1" applyAlignment="1">
      <alignment horizontal="center" vertical="center" wrapText="1" shrinkToFit="1"/>
    </xf>
    <xf numFmtId="0" fontId="8" fillId="40" borderId="0" xfId="0" applyFont="1" applyFill="1" applyAlignment="1" applyProtection="1">
      <alignment horizontal="center" vertical="center" wrapText="1" shrinkToFit="1"/>
      <protection hidden="1"/>
    </xf>
    <xf numFmtId="0" fontId="8" fillId="40" borderId="0" xfId="0" applyFont="1" applyFill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 wrapText="1"/>
      <protection hidden="1"/>
    </xf>
    <xf numFmtId="0" fontId="19" fillId="33" borderId="0" xfId="0" applyFont="1" applyFill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vertical="center"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8" fillId="42" borderId="0" xfId="0" applyFont="1" applyFill="1" applyAlignment="1">
      <alignment horizontal="center" vertical="center"/>
    </xf>
    <xf numFmtId="0" fontId="8" fillId="42" borderId="0" xfId="0" applyFont="1" applyFill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39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42" borderId="0" xfId="0" applyFont="1" applyFill="1" applyAlignment="1" applyProtection="1">
      <alignment vertical="center" wrapText="1" shrinkToFit="1"/>
      <protection hidden="1"/>
    </xf>
    <xf numFmtId="0" fontId="1" fillId="40" borderId="0" xfId="0" applyFont="1" applyFill="1" applyAlignment="1" applyProtection="1">
      <alignment vertical="center" wrapText="1" shrinkToFi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41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14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8" borderId="0" xfId="0" applyFont="1" applyFill="1" applyAlignment="1">
      <alignment horizontal="center" vertical="center" wrapText="1" shrinkToFit="1"/>
    </xf>
    <xf numFmtId="0" fontId="8" fillId="38" borderId="0" xfId="0" applyFont="1" applyFill="1" applyAlignment="1">
      <alignment horizontal="center" vertical="center" wrapText="1" shrinkToFit="1"/>
    </xf>
    <xf numFmtId="0" fontId="9" fillId="43" borderId="0" xfId="0" applyFont="1" applyFill="1" applyAlignment="1">
      <alignment horizontal="center" vertical="center" wrapText="1" shrinkToFit="1"/>
    </xf>
    <xf numFmtId="0" fontId="8" fillId="43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center" vertical="center"/>
    </xf>
    <xf numFmtId="0" fontId="8" fillId="43" borderId="0" xfId="0" applyFont="1" applyFill="1" applyBorder="1" applyAlignment="1" applyProtection="1">
      <alignment horizontal="center" vertical="center" wrapText="1"/>
      <protection hidden="1"/>
    </xf>
    <xf numFmtId="0" fontId="8" fillId="43" borderId="0" xfId="0" applyFont="1" applyFill="1" applyAlignment="1" applyProtection="1">
      <alignment horizontal="center" vertical="center" wrapText="1"/>
      <protection hidden="1"/>
    </xf>
    <xf numFmtId="0" fontId="8" fillId="43" borderId="0" xfId="0" applyFont="1" applyFill="1" applyAlignment="1" applyProtection="1">
      <alignment horizontal="left" vertical="center" wrapText="1"/>
      <protection hidden="1"/>
    </xf>
    <xf numFmtId="0" fontId="8" fillId="43" borderId="0" xfId="0" applyFont="1" applyFill="1" applyAlignment="1" applyProtection="1">
      <alignment vertical="center" wrapText="1"/>
      <protection hidden="1"/>
    </xf>
    <xf numFmtId="0" fontId="8" fillId="44" borderId="0" xfId="0" applyFont="1" applyFill="1" applyAlignment="1" applyProtection="1">
      <alignment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14" fontId="28" fillId="0" borderId="0" xfId="0" applyNumberFormat="1" applyFont="1" applyBorder="1" applyAlignment="1" applyProtection="1">
      <alignment horizontal="center"/>
      <protection hidden="1"/>
    </xf>
    <xf numFmtId="1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8" fillId="43" borderId="0" xfId="0" applyFont="1" applyFill="1" applyAlignment="1" applyProtection="1">
      <alignment horizontal="center" vertical="center"/>
      <protection hidden="1"/>
    </xf>
    <xf numFmtId="0" fontId="8" fillId="39" borderId="0" xfId="0" applyFont="1" applyFill="1" applyAlignment="1" applyProtection="1">
      <alignment horizontal="right" vertical="center" wrapText="1"/>
      <protection hidden="1"/>
    </xf>
    <xf numFmtId="0" fontId="8" fillId="39" borderId="0" xfId="0" applyFont="1" applyFill="1" applyAlignment="1" applyProtection="1">
      <alignment horizontal="center" vertical="center" wrapText="1"/>
      <protection hidden="1"/>
    </xf>
    <xf numFmtId="0" fontId="8" fillId="38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37" fillId="40" borderId="13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 applyProtection="1">
      <alignment horizontal="center" vertical="center" wrapText="1"/>
      <protection hidden="1"/>
    </xf>
    <xf numFmtId="0" fontId="8" fillId="36" borderId="15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>
      <alignment horizontal="center" vertical="center"/>
    </xf>
    <xf numFmtId="0" fontId="24" fillId="36" borderId="15" xfId="0" applyFont="1" applyFill="1" applyBorder="1" applyAlignment="1" applyProtection="1">
      <alignment horizontal="center" vertical="center" wrapText="1"/>
      <protection hidden="1"/>
    </xf>
    <xf numFmtId="0" fontId="36" fillId="36" borderId="15" xfId="0" applyFont="1" applyFill="1" applyBorder="1" applyAlignment="1" applyProtection="1">
      <alignment horizontal="center" vertical="center" wrapText="1"/>
      <protection hidden="1"/>
    </xf>
    <xf numFmtId="0" fontId="19" fillId="36" borderId="16" xfId="0" applyFont="1" applyFill="1" applyBorder="1" applyAlignment="1" applyProtection="1">
      <alignment horizontal="center" vertical="center" wrapText="1"/>
      <protection hidden="1"/>
    </xf>
    <xf numFmtId="0" fontId="32" fillId="43" borderId="17" xfId="0" applyFont="1" applyFill="1" applyBorder="1" applyAlignment="1" applyProtection="1">
      <alignment horizontal="center" vertical="center"/>
      <protection hidden="1"/>
    </xf>
    <xf numFmtId="0" fontId="32" fillId="43" borderId="18" xfId="0" applyFont="1" applyFill="1" applyBorder="1" applyAlignment="1" applyProtection="1">
      <alignment horizontal="center" vertical="center"/>
      <protection hidden="1"/>
    </xf>
    <xf numFmtId="0" fontId="32" fillId="43" borderId="19" xfId="0" applyFont="1" applyFill="1" applyBorder="1" applyAlignment="1" applyProtection="1">
      <alignment horizontal="center" vertical="center"/>
      <protection hidden="1"/>
    </xf>
    <xf numFmtId="0" fontId="32" fillId="35" borderId="20" xfId="0" applyFont="1" applyFill="1" applyBorder="1" applyAlignment="1" applyProtection="1">
      <alignment horizontal="center" vertical="center"/>
      <protection hidden="1"/>
    </xf>
    <xf numFmtId="0" fontId="32" fillId="35" borderId="18" xfId="0" applyFont="1" applyFill="1" applyBorder="1" applyAlignment="1" applyProtection="1">
      <alignment horizontal="center" vertical="center"/>
      <protection hidden="1"/>
    </xf>
    <xf numFmtId="0" fontId="32" fillId="35" borderId="19" xfId="0" applyFont="1" applyFill="1" applyBorder="1" applyAlignment="1" applyProtection="1">
      <alignment horizontal="center" vertical="center"/>
      <protection hidden="1"/>
    </xf>
    <xf numFmtId="0" fontId="32" fillId="45" borderId="18" xfId="0" applyFont="1" applyFill="1" applyBorder="1" applyAlignment="1" applyProtection="1">
      <alignment horizontal="center" vertical="center"/>
      <protection hidden="1"/>
    </xf>
    <xf numFmtId="0" fontId="32" fillId="45" borderId="21" xfId="0" applyFont="1" applyFill="1" applyBorder="1" applyAlignment="1" applyProtection="1">
      <alignment horizontal="center" vertical="center"/>
      <protection hidden="1"/>
    </xf>
    <xf numFmtId="0" fontId="7" fillId="46" borderId="22" xfId="0" applyFont="1" applyFill="1" applyBorder="1" applyAlignment="1" applyProtection="1">
      <alignment horizontal="center" vertical="center"/>
      <protection hidden="1"/>
    </xf>
    <xf numFmtId="0" fontId="38" fillId="33" borderId="23" xfId="0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 applyProtection="1">
      <alignment horizontal="center" vertical="center"/>
      <protection locked="0"/>
    </xf>
    <xf numFmtId="0" fontId="38" fillId="33" borderId="25" xfId="0" applyFont="1" applyFill="1" applyBorder="1" applyAlignment="1" applyProtection="1">
      <alignment horizontal="center" vertical="center"/>
      <protection locked="0"/>
    </xf>
    <xf numFmtId="0" fontId="38" fillId="33" borderId="26" xfId="0" applyFont="1" applyFill="1" applyBorder="1" applyAlignment="1" applyProtection="1">
      <alignment horizontal="center" vertical="center"/>
      <protection locked="0"/>
    </xf>
    <xf numFmtId="0" fontId="38" fillId="33" borderId="27" xfId="0" applyFont="1" applyFill="1" applyBorder="1" applyAlignment="1" applyProtection="1">
      <alignment horizontal="center" vertical="center"/>
      <protection locked="0"/>
    </xf>
    <xf numFmtId="0" fontId="38" fillId="33" borderId="28" xfId="0" applyFont="1" applyFill="1" applyBorder="1" applyAlignment="1" applyProtection="1">
      <alignment horizontal="center" vertical="center"/>
      <protection locked="0"/>
    </xf>
    <xf numFmtId="0" fontId="7" fillId="46" borderId="29" xfId="0" applyFont="1" applyFill="1" applyBorder="1" applyAlignment="1" applyProtection="1">
      <alignment horizontal="center" vertical="center"/>
      <protection hidden="1"/>
    </xf>
    <xf numFmtId="0" fontId="38" fillId="33" borderId="30" xfId="0" applyFont="1" applyFill="1" applyBorder="1" applyAlignment="1" applyProtection="1">
      <alignment horizontal="center" vertical="center"/>
      <protection locked="0"/>
    </xf>
    <xf numFmtId="0" fontId="38" fillId="33" borderId="31" xfId="0" applyFont="1" applyFill="1" applyBorder="1" applyAlignment="1" applyProtection="1">
      <alignment horizontal="center" vertical="center"/>
      <protection locked="0"/>
    </xf>
    <xf numFmtId="0" fontId="38" fillId="33" borderId="32" xfId="0" applyFont="1" applyFill="1" applyBorder="1" applyAlignment="1" applyProtection="1">
      <alignment horizontal="center" vertical="center"/>
      <protection locked="0"/>
    </xf>
    <xf numFmtId="0" fontId="38" fillId="33" borderId="33" xfId="0" applyFont="1" applyFill="1" applyBorder="1" applyAlignment="1" applyProtection="1">
      <alignment horizontal="center" vertical="center"/>
      <protection locked="0"/>
    </xf>
    <xf numFmtId="0" fontId="38" fillId="33" borderId="34" xfId="0" applyFont="1" applyFill="1" applyBorder="1" applyAlignment="1" applyProtection="1">
      <alignment horizontal="center" vertical="center"/>
      <protection locked="0"/>
    </xf>
    <xf numFmtId="0" fontId="38" fillId="33" borderId="35" xfId="0" applyFont="1" applyFill="1" applyBorder="1" applyAlignment="1" applyProtection="1">
      <alignment horizontal="center" vertical="center"/>
      <protection locked="0"/>
    </xf>
    <xf numFmtId="0" fontId="8" fillId="44" borderId="0" xfId="0" applyFont="1" applyFill="1" applyAlignment="1" applyProtection="1">
      <alignment horizontal="center" vertical="center"/>
      <protection hidden="1"/>
    </xf>
    <xf numFmtId="0" fontId="41" fillId="3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38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5" fillId="36" borderId="36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0" fillId="43" borderId="0" xfId="0" applyFill="1" applyAlignment="1">
      <alignment vertical="center"/>
    </xf>
    <xf numFmtId="0" fontId="1" fillId="43" borderId="0" xfId="0" applyFont="1" applyFill="1" applyAlignment="1">
      <alignment vertical="center"/>
    </xf>
    <xf numFmtId="0" fontId="1" fillId="43" borderId="0" xfId="0" applyFont="1" applyFill="1" applyAlignment="1" applyProtection="1">
      <alignment vertical="center"/>
      <protection hidden="1"/>
    </xf>
    <xf numFmtId="0" fontId="18" fillId="43" borderId="0" xfId="0" applyFont="1" applyFill="1" applyAlignment="1">
      <alignment vertical="center"/>
    </xf>
    <xf numFmtId="0" fontId="1" fillId="43" borderId="0" xfId="0" applyFont="1" applyFill="1" applyAlignment="1" applyProtection="1">
      <alignment vertical="center"/>
      <protection hidden="1"/>
    </xf>
    <xf numFmtId="0" fontId="1" fillId="43" borderId="0" xfId="0" applyFont="1" applyFill="1" applyAlignment="1" applyProtection="1">
      <alignment vertical="center"/>
      <protection hidden="1"/>
    </xf>
    <xf numFmtId="0" fontId="20" fillId="43" borderId="0" xfId="0" applyFont="1" applyFill="1" applyBorder="1" applyAlignment="1" applyProtection="1">
      <alignment vertical="center" wrapText="1"/>
      <protection hidden="1"/>
    </xf>
    <xf numFmtId="0" fontId="1" fillId="43" borderId="37" xfId="0" applyFont="1" applyFill="1" applyBorder="1" applyAlignment="1" applyProtection="1">
      <alignment vertical="center"/>
      <protection hidden="1"/>
    </xf>
    <xf numFmtId="0" fontId="32" fillId="43" borderId="37" xfId="0" applyFont="1" applyFill="1" applyBorder="1" applyAlignment="1">
      <alignment horizontal="left" vertical="center"/>
    </xf>
    <xf numFmtId="0" fontId="13" fillId="43" borderId="37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2" fillId="38" borderId="0" xfId="0" applyFont="1" applyFill="1" applyAlignment="1" applyProtection="1">
      <alignment vertical="center"/>
      <protection hidden="1"/>
    </xf>
    <xf numFmtId="0" fontId="14" fillId="42" borderId="38" xfId="0" applyFont="1" applyFill="1" applyBorder="1" applyAlignment="1" applyProtection="1">
      <alignment horizontal="center" vertical="center" wrapText="1"/>
      <protection hidden="1"/>
    </xf>
    <xf numFmtId="0" fontId="14" fillId="42" borderId="39" xfId="0" applyFont="1" applyFill="1" applyBorder="1" applyAlignment="1" applyProtection="1">
      <alignment horizontal="center" vertical="center" wrapText="1"/>
      <protection hidden="1"/>
    </xf>
    <xf numFmtId="0" fontId="14" fillId="42" borderId="40" xfId="0" applyFont="1" applyFill="1" applyBorder="1" applyAlignment="1" applyProtection="1">
      <alignment horizontal="center" vertical="center" wrapText="1"/>
      <protection hidden="1"/>
    </xf>
    <xf numFmtId="9" fontId="9" fillId="47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41" borderId="0" xfId="0" applyFont="1" applyFill="1" applyAlignment="1" applyProtection="1">
      <alignment horizontal="center" vertical="center" wrapText="1" shrinkToFit="1"/>
      <protection hidden="1"/>
    </xf>
    <xf numFmtId="0" fontId="8" fillId="39" borderId="0" xfId="0" applyFont="1" applyFill="1" applyAlignment="1" applyProtection="1">
      <alignment horizontal="center" vertical="center" wrapText="1" shrinkToFit="1"/>
      <protection hidden="1"/>
    </xf>
    <xf numFmtId="14" fontId="8" fillId="0" borderId="0" xfId="0" applyNumberFormat="1" applyFont="1" applyAlignment="1" applyProtection="1">
      <alignment horizontal="center" vertical="center" wrapText="1" shrinkToFit="1"/>
      <protection hidden="1"/>
    </xf>
    <xf numFmtId="0" fontId="48" fillId="33" borderId="42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95" fillId="48" borderId="14" xfId="0" applyFont="1" applyFill="1" applyBorder="1" applyAlignment="1" applyProtection="1">
      <alignment horizontal="center" vertical="center" wrapText="1"/>
      <protection hidden="1"/>
    </xf>
    <xf numFmtId="0" fontId="96" fillId="49" borderId="14" xfId="0" applyFont="1" applyFill="1" applyBorder="1" applyAlignment="1" applyProtection="1">
      <alignment horizontal="center" vertical="center" wrapText="1"/>
      <protection hidden="1"/>
    </xf>
    <xf numFmtId="0" fontId="42" fillId="43" borderId="43" xfId="0" applyNumberFormat="1" applyFont="1" applyFill="1" applyBorder="1" applyAlignment="1" applyProtection="1">
      <alignment horizontal="center" vertical="center"/>
      <protection hidden="1"/>
    </xf>
    <xf numFmtId="0" fontId="42" fillId="43" borderId="44" xfId="0" applyNumberFormat="1" applyFont="1" applyFill="1" applyBorder="1" applyAlignment="1" applyProtection="1">
      <alignment horizontal="center" vertical="center"/>
      <protection hidden="1"/>
    </xf>
    <xf numFmtId="0" fontId="42" fillId="43" borderId="45" xfId="0" applyNumberFormat="1" applyFont="1" applyFill="1" applyBorder="1" applyAlignment="1" applyProtection="1">
      <alignment horizontal="center" vertical="center"/>
      <protection hidden="1"/>
    </xf>
    <xf numFmtId="14" fontId="97" fillId="36" borderId="46" xfId="0" applyNumberFormat="1" applyFont="1" applyFill="1" applyBorder="1" applyAlignment="1" applyProtection="1">
      <alignment horizontal="center" vertical="top"/>
      <protection hidden="1"/>
    </xf>
    <xf numFmtId="0" fontId="97" fillId="36" borderId="0" xfId="0" applyNumberFormat="1" applyFont="1" applyFill="1" applyBorder="1" applyAlignment="1" applyProtection="1">
      <alignment horizontal="center" vertical="top"/>
      <protection hidden="1"/>
    </xf>
    <xf numFmtId="0" fontId="98" fillId="0" borderId="0" xfId="0" applyFont="1" applyFill="1" applyBorder="1" applyAlignment="1" applyProtection="1">
      <alignment horizontal="center" vertical="center" shrinkToFit="1"/>
      <protection hidden="1"/>
    </xf>
    <xf numFmtId="0" fontId="99" fillId="0" borderId="0" xfId="0" applyNumberFormat="1" applyFont="1" applyFill="1" applyBorder="1" applyAlignment="1" applyProtection="1">
      <alignment horizontal="center" vertical="top"/>
      <protection hidden="1"/>
    </xf>
    <xf numFmtId="0" fontId="98" fillId="0" borderId="0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Alignment="1" applyProtection="1">
      <alignment vertical="center" wrapText="1"/>
      <protection hidden="1"/>
    </xf>
    <xf numFmtId="0" fontId="100" fillId="50" borderId="47" xfId="0" applyFont="1" applyFill="1" applyBorder="1" applyAlignment="1">
      <alignment horizontal="center" vertical="center" wrapText="1"/>
    </xf>
    <xf numFmtId="0" fontId="101" fillId="50" borderId="48" xfId="0" applyFont="1" applyFill="1" applyBorder="1" applyAlignment="1">
      <alignment horizontal="center" vertical="center" wrapText="1"/>
    </xf>
    <xf numFmtId="0" fontId="102" fillId="33" borderId="0" xfId="0" applyFont="1" applyFill="1" applyBorder="1" applyAlignment="1" applyProtection="1">
      <alignment horizontal="center" vertical="center" wrapText="1"/>
      <protection hidden="1"/>
    </xf>
    <xf numFmtId="14" fontId="10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Alignment="1" applyProtection="1">
      <alignment horizontal="center" vertical="center"/>
      <protection hidden="1"/>
    </xf>
    <xf numFmtId="0" fontId="102" fillId="33" borderId="0" xfId="0" applyFont="1" applyFill="1" applyBorder="1" applyAlignment="1" applyProtection="1">
      <alignment horizontal="right" vertical="center" wrapText="1"/>
      <protection hidden="1"/>
    </xf>
    <xf numFmtId="0" fontId="102" fillId="0" borderId="0" xfId="0" applyFont="1" applyFill="1" applyBorder="1" applyAlignment="1" applyProtection="1">
      <alignment horizontal="right" vertical="center" wrapText="1"/>
      <protection hidden="1"/>
    </xf>
    <xf numFmtId="0" fontId="102" fillId="0" borderId="0" xfId="0" applyFont="1" applyFill="1" applyBorder="1" applyAlignment="1" applyProtection="1">
      <alignment horizontal="right" vertical="center"/>
      <protection hidden="1"/>
    </xf>
    <xf numFmtId="14" fontId="54" fillId="0" borderId="0" xfId="0" applyNumberFormat="1" applyFont="1" applyFill="1" applyAlignment="1" applyProtection="1">
      <alignment horizontal="center" vertical="center"/>
      <protection hidden="1"/>
    </xf>
    <xf numFmtId="0" fontId="2" fillId="3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3" fillId="0" borderId="0" xfId="0" applyNumberFormat="1" applyFont="1" applyFill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105" fillId="0" borderId="0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4" fontId="56" fillId="0" borderId="0" xfId="0" applyNumberFormat="1" applyFont="1" applyFill="1" applyAlignment="1" applyProtection="1">
      <alignment horizontal="center" vertical="center"/>
      <protection hidden="1"/>
    </xf>
    <xf numFmtId="14" fontId="106" fillId="0" borderId="0" xfId="0" applyNumberFormat="1" applyFont="1" applyFill="1" applyAlignment="1" applyProtection="1">
      <alignment horizontal="center" vertical="center"/>
      <protection hidden="1"/>
    </xf>
    <xf numFmtId="0" fontId="107" fillId="0" borderId="0" xfId="0" applyFont="1" applyFill="1" applyAlignment="1" applyProtection="1">
      <alignment horizontal="right" vertical="center"/>
      <protection hidden="1"/>
    </xf>
    <xf numFmtId="0" fontId="108" fillId="0" borderId="0" xfId="0" applyFont="1" applyFill="1" applyAlignment="1" applyProtection="1">
      <alignment horizontal="right" vertical="center"/>
      <protection hidden="1"/>
    </xf>
    <xf numFmtId="0" fontId="47" fillId="47" borderId="49" xfId="0" applyFont="1" applyFill="1" applyBorder="1" applyAlignment="1" applyProtection="1">
      <alignment horizontal="center" vertical="center" wrapText="1"/>
      <protection hidden="1"/>
    </xf>
    <xf numFmtId="0" fontId="47" fillId="47" borderId="50" xfId="0" applyFont="1" applyFill="1" applyBorder="1" applyAlignment="1" applyProtection="1">
      <alignment horizontal="center" vertical="center" wrapText="1"/>
      <protection hidden="1"/>
    </xf>
    <xf numFmtId="0" fontId="47" fillId="47" borderId="51" xfId="0" applyFont="1" applyFill="1" applyBorder="1" applyAlignment="1" applyProtection="1">
      <alignment horizontal="center" vertical="center" wrapText="1"/>
      <protection hidden="1"/>
    </xf>
    <xf numFmtId="0" fontId="1" fillId="48" borderId="0" xfId="0" applyFont="1" applyFill="1" applyAlignment="1" applyProtection="1">
      <alignment vertical="center"/>
      <protection hidden="1"/>
    </xf>
    <xf numFmtId="14" fontId="104" fillId="48" borderId="0" xfId="0" applyNumberFormat="1" applyFont="1" applyFill="1" applyAlignment="1" applyProtection="1">
      <alignment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14" fontId="10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51" borderId="0" xfId="0" applyFont="1" applyFill="1" applyBorder="1" applyAlignment="1" applyProtection="1">
      <alignment horizontal="center" vertical="center" wrapText="1"/>
      <protection hidden="1"/>
    </xf>
    <xf numFmtId="0" fontId="102" fillId="51" borderId="0" xfId="0" applyFont="1" applyFill="1" applyBorder="1" applyAlignment="1" applyProtection="1">
      <alignment horizontal="center" vertical="center" wrapText="1"/>
      <protection hidden="1"/>
    </xf>
    <xf numFmtId="14" fontId="103" fillId="51" borderId="0" xfId="0" applyNumberFormat="1" applyFont="1" applyFill="1" applyBorder="1" applyAlignment="1" applyProtection="1">
      <alignment horizontal="center" vertical="center" wrapText="1"/>
      <protection hidden="1"/>
    </xf>
    <xf numFmtId="0" fontId="104" fillId="51" borderId="0" xfId="0" applyFont="1" applyFill="1" applyBorder="1" applyAlignment="1" applyProtection="1">
      <alignment horizontal="center" vertical="center" wrapText="1"/>
      <protection hidden="1"/>
    </xf>
    <xf numFmtId="0" fontId="1" fillId="51" borderId="0" xfId="0" applyFont="1" applyFill="1" applyAlignment="1" applyProtection="1">
      <alignment vertical="center"/>
      <protection hidden="1"/>
    </xf>
    <xf numFmtId="14" fontId="54" fillId="51" borderId="0" xfId="0" applyNumberFormat="1" applyFont="1" applyFill="1" applyAlignment="1" applyProtection="1">
      <alignment horizontal="center" vertical="center"/>
      <protection hidden="1"/>
    </xf>
    <xf numFmtId="14" fontId="53" fillId="51" borderId="0" xfId="0" applyNumberFormat="1" applyFont="1" applyFill="1" applyAlignment="1" applyProtection="1">
      <alignment horizontal="center" vertical="center"/>
      <protection hidden="1"/>
    </xf>
    <xf numFmtId="14" fontId="56" fillId="51" borderId="0" xfId="0" applyNumberFormat="1" applyFont="1" applyFill="1" applyAlignment="1" applyProtection="1">
      <alignment horizontal="center" vertical="center"/>
      <protection hidden="1"/>
    </xf>
    <xf numFmtId="0" fontId="109" fillId="51" borderId="0" xfId="0" applyFont="1" applyFill="1" applyAlignment="1" applyProtection="1">
      <alignment vertical="center" wrapText="1" shrinkToFit="1"/>
      <protection hidden="1"/>
    </xf>
    <xf numFmtId="0" fontId="107" fillId="51" borderId="0" xfId="0" applyFont="1" applyFill="1" applyAlignment="1" applyProtection="1">
      <alignment vertical="center" wrapText="1" shrinkToFit="1"/>
      <protection hidden="1"/>
    </xf>
    <xf numFmtId="0" fontId="8" fillId="51" borderId="0" xfId="0" applyFont="1" applyFill="1" applyAlignment="1" applyProtection="1">
      <alignment vertical="center"/>
      <protection hidden="1"/>
    </xf>
    <xf numFmtId="14" fontId="53" fillId="51" borderId="0" xfId="0" applyNumberFormat="1" applyFont="1" applyFill="1" applyAlignment="1" applyProtection="1">
      <alignment vertical="center"/>
      <protection hidden="1"/>
    </xf>
    <xf numFmtId="0" fontId="8" fillId="51" borderId="0" xfId="0" applyFont="1" applyFill="1" applyAlignment="1" applyProtection="1">
      <alignment vertical="center" wrapText="1" shrinkToFit="1"/>
      <protection hidden="1"/>
    </xf>
    <xf numFmtId="0" fontId="8" fillId="51" borderId="0" xfId="0" applyFont="1" applyFill="1" applyAlignment="1" applyProtection="1">
      <alignment vertical="center" wrapText="1"/>
      <protection hidden="1"/>
    </xf>
    <xf numFmtId="0" fontId="8" fillId="48" borderId="0" xfId="0" applyFont="1" applyFill="1" applyAlignment="1" applyProtection="1">
      <alignment horizontal="center" vertical="center"/>
      <protection hidden="1"/>
    </xf>
    <xf numFmtId="0" fontId="107" fillId="48" borderId="0" xfId="0" applyFont="1" applyFill="1" applyAlignment="1" applyProtection="1">
      <alignment horizontal="center" vertical="center"/>
      <protection hidden="1"/>
    </xf>
    <xf numFmtId="0" fontId="100" fillId="50" borderId="52" xfId="0" applyFont="1" applyFill="1" applyBorder="1" applyAlignment="1">
      <alignment horizontal="center" vertical="center" wrapText="1"/>
    </xf>
    <xf numFmtId="0" fontId="33" fillId="52" borderId="53" xfId="0" applyFont="1" applyFill="1" applyBorder="1" applyAlignment="1" applyProtection="1">
      <alignment horizontal="center" vertical="center" wrapText="1"/>
      <protection hidden="1"/>
    </xf>
    <xf numFmtId="0" fontId="32" fillId="50" borderId="54" xfId="0" applyFont="1" applyFill="1" applyBorder="1" applyAlignment="1">
      <alignment horizontal="center" vertical="center" wrapText="1"/>
    </xf>
    <xf numFmtId="0" fontId="32" fillId="50" borderId="55" xfId="0" applyFont="1" applyFill="1" applyBorder="1" applyAlignment="1">
      <alignment horizontal="center" vertical="center" wrapText="1"/>
    </xf>
    <xf numFmtId="0" fontId="100" fillId="50" borderId="56" xfId="0" applyFont="1" applyFill="1" applyBorder="1" applyAlignment="1">
      <alignment horizontal="center" vertical="center" wrapText="1"/>
    </xf>
    <xf numFmtId="0" fontId="47" fillId="47" borderId="56" xfId="0" applyFont="1" applyFill="1" applyBorder="1" applyAlignment="1" applyProtection="1">
      <alignment horizontal="center" vertical="center" wrapText="1"/>
      <protection hidden="1"/>
    </xf>
    <xf numFmtId="0" fontId="47" fillId="47" borderId="57" xfId="0" applyFont="1" applyFill="1" applyBorder="1" applyAlignment="1" applyProtection="1">
      <alignment horizontal="center" vertical="center" wrapText="1"/>
      <protection hidden="1"/>
    </xf>
    <xf numFmtId="0" fontId="8" fillId="53" borderId="0" xfId="0" applyFont="1" applyFill="1" applyAlignment="1" applyProtection="1">
      <alignment horizontal="right" vertical="center"/>
      <protection hidden="1"/>
    </xf>
    <xf numFmtId="14" fontId="8" fillId="0" borderId="0" xfId="0" applyNumberFormat="1" applyFont="1" applyFill="1" applyAlignment="1" applyProtection="1">
      <alignment horizontal="center" vertical="center"/>
      <protection hidden="1"/>
    </xf>
    <xf numFmtId="0" fontId="53" fillId="48" borderId="0" xfId="0" applyFont="1" applyFill="1" applyAlignment="1" applyProtection="1">
      <alignment horizontal="left" vertical="center"/>
      <protection hidden="1"/>
    </xf>
    <xf numFmtId="0" fontId="1" fillId="54" borderId="0" xfId="0" applyFont="1" applyFill="1" applyAlignment="1" applyProtection="1">
      <alignment vertical="center"/>
      <protection hidden="1"/>
    </xf>
    <xf numFmtId="0" fontId="33" fillId="55" borderId="53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14" fontId="32" fillId="0" borderId="0" xfId="0" applyNumberFormat="1" applyFont="1" applyFill="1" applyAlignment="1" applyProtection="1">
      <alignment horizontal="center" vertical="center"/>
      <protection hidden="1"/>
    </xf>
    <xf numFmtId="14" fontId="110" fillId="0" borderId="0" xfId="0" applyNumberFormat="1" applyFont="1" applyFill="1" applyAlignment="1" applyProtection="1">
      <alignment horizontal="center" vertical="center"/>
      <protection hidden="1"/>
    </xf>
    <xf numFmtId="0" fontId="14" fillId="56" borderId="0" xfId="0" applyFont="1" applyFill="1" applyAlignment="1" applyProtection="1">
      <alignment horizontal="center" vertical="top" wrapText="1"/>
      <protection hidden="1"/>
    </xf>
    <xf numFmtId="0" fontId="16" fillId="56" borderId="0" xfId="0" applyFont="1" applyFill="1" applyAlignment="1" applyProtection="1">
      <alignment horizontal="right" vertical="top" wrapText="1"/>
      <protection hidden="1"/>
    </xf>
    <xf numFmtId="0" fontId="8" fillId="56" borderId="0" xfId="0" applyFont="1" applyFill="1" applyAlignment="1" applyProtection="1">
      <alignment horizontal="center" vertical="top" wrapText="1"/>
      <protection hidden="1"/>
    </xf>
    <xf numFmtId="0" fontId="8" fillId="56" borderId="0" xfId="0" applyNumberFormat="1" applyFont="1" applyFill="1" applyAlignment="1" applyProtection="1">
      <alignment horizontal="right" vertical="top" wrapText="1"/>
      <protection hidden="1"/>
    </xf>
    <xf numFmtId="0" fontId="1" fillId="56" borderId="0" xfId="0" applyFont="1" applyFill="1" applyAlignment="1" applyProtection="1">
      <alignment vertical="top"/>
      <protection hidden="1"/>
    </xf>
    <xf numFmtId="0" fontId="1" fillId="56" borderId="0" xfId="0" applyFont="1" applyFill="1" applyAlignment="1" applyProtection="1">
      <alignment horizontal="center" vertical="top"/>
      <protection hidden="1"/>
    </xf>
    <xf numFmtId="0" fontId="15" fillId="46" borderId="27" xfId="0" applyFont="1" applyFill="1" applyBorder="1" applyAlignment="1" applyProtection="1">
      <alignment horizontal="center" vertical="center"/>
      <protection hidden="1"/>
    </xf>
    <xf numFmtId="0" fontId="32" fillId="45" borderId="20" xfId="0" applyFont="1" applyFill="1" applyBorder="1" applyAlignment="1" applyProtection="1">
      <alignment horizontal="center" vertical="center"/>
      <protection hidden="1"/>
    </xf>
    <xf numFmtId="0" fontId="15" fillId="46" borderId="26" xfId="0" applyFont="1" applyFill="1" applyBorder="1" applyAlignment="1" applyProtection="1">
      <alignment horizontal="center" vertical="center"/>
      <protection hidden="1"/>
    </xf>
    <xf numFmtId="0" fontId="15" fillId="46" borderId="58" xfId="0" applyFont="1" applyFill="1" applyBorder="1" applyAlignment="1" applyProtection="1">
      <alignment horizontal="center" vertical="center" wrapText="1"/>
      <protection hidden="1"/>
    </xf>
    <xf numFmtId="0" fontId="15" fillId="46" borderId="59" xfId="0" applyFont="1" applyFill="1" applyBorder="1" applyAlignment="1" applyProtection="1">
      <alignment horizontal="center" vertical="center"/>
      <protection hidden="1"/>
    </xf>
    <xf numFmtId="0" fontId="15" fillId="46" borderId="60" xfId="0" applyFont="1" applyFill="1" applyBorder="1" applyAlignment="1" applyProtection="1">
      <alignment horizontal="center" vertical="center"/>
      <protection hidden="1"/>
    </xf>
    <xf numFmtId="0" fontId="15" fillId="46" borderId="61" xfId="0" applyFont="1" applyFill="1" applyBorder="1" applyAlignment="1" applyProtection="1">
      <alignment horizontal="center" vertical="center" wrapText="1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52" borderId="62" xfId="0" applyFont="1" applyFill="1" applyBorder="1" applyAlignment="1" applyProtection="1">
      <alignment horizontal="center" vertical="center" wrapText="1"/>
      <protection hidden="1"/>
    </xf>
    <xf numFmtId="0" fontId="14" fillId="52" borderId="63" xfId="0" applyFont="1" applyFill="1" applyBorder="1" applyAlignment="1" applyProtection="1">
      <alignment horizontal="center" vertical="center" wrapText="1"/>
      <protection hidden="1"/>
    </xf>
    <xf numFmtId="0" fontId="14" fillId="52" borderId="64" xfId="0" applyFont="1" applyFill="1" applyBorder="1" applyAlignment="1" applyProtection="1">
      <alignment horizontal="center" vertical="center" wrapText="1"/>
      <protection hidden="1"/>
    </xf>
    <xf numFmtId="0" fontId="46" fillId="52" borderId="65" xfId="0" applyFont="1" applyFill="1" applyBorder="1" applyAlignment="1" applyProtection="1">
      <alignment horizontal="center" vertical="center" wrapText="1"/>
      <protection hidden="1"/>
    </xf>
    <xf numFmtId="14" fontId="1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40" borderId="66" xfId="0" applyFont="1" applyFill="1" applyBorder="1" applyAlignment="1" applyProtection="1">
      <alignment horizontal="center" vertical="center" wrapText="1"/>
      <protection hidden="1"/>
    </xf>
    <xf numFmtId="0" fontId="47" fillId="47" borderId="67" xfId="0" applyFont="1" applyFill="1" applyBorder="1" applyAlignment="1" applyProtection="1">
      <alignment horizontal="center" vertical="center" wrapText="1"/>
      <protection hidden="1"/>
    </xf>
    <xf numFmtId="0" fontId="37" fillId="40" borderId="68" xfId="0" applyFont="1" applyFill="1" applyBorder="1" applyAlignment="1" applyProtection="1">
      <alignment horizontal="center" vertical="center" wrapText="1"/>
      <protection hidden="1"/>
    </xf>
    <xf numFmtId="0" fontId="47" fillId="47" borderId="69" xfId="0" applyFont="1" applyFill="1" applyBorder="1" applyAlignment="1" applyProtection="1">
      <alignment horizontal="center" vertical="center" wrapText="1"/>
      <protection hidden="1"/>
    </xf>
    <xf numFmtId="0" fontId="37" fillId="40" borderId="70" xfId="0" applyFont="1" applyFill="1" applyBorder="1" applyAlignment="1" applyProtection="1">
      <alignment horizontal="center" vertical="center" wrapText="1"/>
      <protection hidden="1"/>
    </xf>
    <xf numFmtId="0" fontId="47" fillId="47" borderId="71" xfId="0" applyFont="1" applyFill="1" applyBorder="1" applyAlignment="1" applyProtection="1">
      <alignment horizontal="center" vertical="center" wrapText="1"/>
      <protection hidden="1"/>
    </xf>
    <xf numFmtId="0" fontId="47" fillId="47" borderId="6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57" borderId="0" xfId="0" applyFont="1" applyFill="1" applyAlignment="1" applyProtection="1">
      <alignment horizontal="center" vertical="center"/>
      <protection hidden="1"/>
    </xf>
    <xf numFmtId="14" fontId="8" fillId="57" borderId="0" xfId="0" applyNumberFormat="1" applyFont="1" applyFill="1" applyAlignment="1" applyProtection="1">
      <alignment horizontal="center" vertical="center"/>
      <protection hidden="1"/>
    </xf>
    <xf numFmtId="0" fontId="8" fillId="43" borderId="0" xfId="0" applyFont="1" applyFill="1" applyAlignment="1" applyProtection="1">
      <alignment horizontal="left" vertical="center"/>
      <protection hidden="1"/>
    </xf>
    <xf numFmtId="0" fontId="107" fillId="58" borderId="0" xfId="0" applyFont="1" applyFill="1" applyAlignment="1" applyProtection="1">
      <alignment vertical="center" wrapText="1" shrinkToFit="1"/>
      <protection hidden="1"/>
    </xf>
    <xf numFmtId="14" fontId="53" fillId="0" borderId="0" xfId="0" applyNumberFormat="1" applyFont="1" applyAlignment="1" applyProtection="1">
      <alignment horizontal="center" vertical="center"/>
      <protection hidden="1"/>
    </xf>
    <xf numFmtId="0" fontId="8" fillId="58" borderId="0" xfId="0" applyFont="1" applyFill="1" applyAlignment="1" applyProtection="1">
      <alignment horizontal="center" vertical="center" wrapText="1" shrinkToFit="1"/>
      <protection hidden="1"/>
    </xf>
    <xf numFmtId="14" fontId="53" fillId="58" borderId="0" xfId="0" applyNumberFormat="1" applyFont="1" applyFill="1" applyAlignment="1" applyProtection="1">
      <alignment horizontal="center" vertical="center"/>
      <protection hidden="1"/>
    </xf>
    <xf numFmtId="0" fontId="107" fillId="58" borderId="72" xfId="0" applyFont="1" applyFill="1" applyBorder="1" applyAlignment="1" applyProtection="1">
      <alignment vertical="center" wrapText="1" shrinkToFit="1"/>
      <protection hidden="1"/>
    </xf>
    <xf numFmtId="9" fontId="9" fillId="47" borderId="73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4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8" fillId="58" borderId="0" xfId="0" applyFont="1" applyFill="1" applyAlignment="1" applyProtection="1">
      <alignment horizontal="center" vertical="center" wrapText="1" shrinkToFit="1"/>
      <protection hidden="1"/>
    </xf>
    <xf numFmtId="0" fontId="47" fillId="47" borderId="76" xfId="0" applyFont="1" applyFill="1" applyBorder="1" applyAlignment="1" applyProtection="1">
      <alignment horizontal="center" vertical="center" wrapText="1"/>
      <protection hidden="1"/>
    </xf>
    <xf numFmtId="9" fontId="9" fillId="47" borderId="77" xfId="0" applyNumberFormat="1" applyFont="1" applyFill="1" applyBorder="1" applyAlignment="1" applyProtection="1">
      <alignment horizontal="center" vertical="center" wrapText="1"/>
      <protection hidden="1"/>
    </xf>
    <xf numFmtId="0" fontId="47" fillId="47" borderId="78" xfId="0" applyFont="1" applyFill="1" applyBorder="1" applyAlignment="1" applyProtection="1">
      <alignment horizontal="center" vertical="center" wrapText="1"/>
      <protection hidden="1"/>
    </xf>
    <xf numFmtId="9" fontId="9" fillId="47" borderId="79" xfId="0" applyNumberFormat="1" applyFont="1" applyFill="1" applyBorder="1" applyAlignment="1" applyProtection="1">
      <alignment horizontal="center" vertical="center" wrapText="1"/>
      <protection hidden="1"/>
    </xf>
    <xf numFmtId="0" fontId="8" fillId="48" borderId="0" xfId="0" applyFont="1" applyFill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vertical="center" wrapText="1" shrinkToFit="1"/>
      <protection hidden="1"/>
    </xf>
    <xf numFmtId="0" fontId="34" fillId="36" borderId="0" xfId="0" applyFont="1" applyFill="1" applyBorder="1" applyAlignment="1" applyProtection="1">
      <alignment horizontal="center" vertical="center" wrapText="1"/>
      <protection hidden="1"/>
    </xf>
    <xf numFmtId="9" fontId="35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59" borderId="0" xfId="0" applyFont="1" applyFill="1" applyAlignment="1" applyProtection="1">
      <alignment horizontal="center" vertical="center"/>
      <protection hidden="1"/>
    </xf>
    <xf numFmtId="0" fontId="8" fillId="58" borderId="0" xfId="0" applyFont="1" applyFill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33" fillId="60" borderId="80" xfId="0" applyFont="1" applyFill="1" applyBorder="1" applyAlignment="1" applyProtection="1">
      <alignment horizontal="center" vertical="center" wrapText="1"/>
      <protection hidden="1"/>
    </xf>
    <xf numFmtId="0" fontId="14" fillId="60" borderId="49" xfId="0" applyFont="1" applyFill="1" applyBorder="1" applyAlignment="1" applyProtection="1">
      <alignment horizontal="center" vertical="center" wrapText="1"/>
      <protection hidden="1"/>
    </xf>
    <xf numFmtId="0" fontId="14" fillId="60" borderId="81" xfId="0" applyFont="1" applyFill="1" applyBorder="1" applyAlignment="1" applyProtection="1">
      <alignment horizontal="center" vertical="center" wrapText="1"/>
      <protection hidden="1"/>
    </xf>
    <xf numFmtId="0" fontId="46" fillId="60" borderId="82" xfId="0" applyFont="1" applyFill="1" applyBorder="1" applyAlignment="1" applyProtection="1">
      <alignment horizontal="center" vertical="center" wrapText="1"/>
      <protection hidden="1"/>
    </xf>
    <xf numFmtId="14" fontId="32" fillId="0" borderId="0" xfId="0" applyNumberFormat="1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56" borderId="0" xfId="0" applyFont="1" applyFill="1" applyBorder="1" applyAlignment="1" applyProtection="1">
      <alignment horizontal="left" vertical="center" wrapText="1" indent="2"/>
      <protection hidden="1"/>
    </xf>
    <xf numFmtId="0" fontId="112" fillId="56" borderId="0" xfId="0" applyFont="1" applyFill="1" applyBorder="1" applyAlignment="1" applyProtection="1">
      <alignment vertical="center" wrapText="1"/>
      <protection hidden="1"/>
    </xf>
    <xf numFmtId="0" fontId="14" fillId="56" borderId="0" xfId="0" applyFont="1" applyFill="1" applyAlignment="1" applyProtection="1">
      <alignment horizontal="right" vertical="top" wrapText="1"/>
      <protection hidden="1"/>
    </xf>
    <xf numFmtId="0" fontId="50" fillId="56" borderId="0" xfId="0" applyFont="1" applyFill="1" applyAlignment="1" applyProtection="1">
      <alignment horizontal="center" vertical="top" wrapText="1"/>
      <protection hidden="1"/>
    </xf>
    <xf numFmtId="0" fontId="50" fillId="56" borderId="0" xfId="0" applyFont="1" applyFill="1" applyAlignment="1" applyProtection="1">
      <alignment horizontal="distributed" vertical="top" wrapText="1"/>
      <protection hidden="1"/>
    </xf>
    <xf numFmtId="0" fontId="31" fillId="56" borderId="0" xfId="0" applyFont="1" applyFill="1" applyAlignment="1" applyProtection="1">
      <alignment horizontal="distributed" vertical="top" wrapText="1"/>
      <protection hidden="1"/>
    </xf>
    <xf numFmtId="0" fontId="0" fillId="56" borderId="0" xfId="0" applyFill="1" applyAlignment="1" applyProtection="1">
      <alignment horizontal="center" vertical="top"/>
      <protection hidden="1"/>
    </xf>
    <xf numFmtId="0" fontId="8" fillId="56" borderId="0" xfId="0" applyFont="1" applyFill="1" applyAlignment="1" applyProtection="1">
      <alignment vertical="top" wrapText="1"/>
      <protection hidden="1"/>
    </xf>
    <xf numFmtId="9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14" fontId="19" fillId="36" borderId="0" xfId="0" applyNumberFormat="1" applyFont="1" applyFill="1" applyBorder="1" applyAlignment="1" applyProtection="1">
      <alignment horizontal="center" vertical="center"/>
      <protection hidden="1"/>
    </xf>
    <xf numFmtId="0" fontId="33" fillId="60" borderId="83" xfId="0" applyFont="1" applyFill="1" applyBorder="1" applyAlignment="1" applyProtection="1">
      <alignment horizontal="center" vertical="center" wrapText="1"/>
      <protection hidden="1"/>
    </xf>
    <xf numFmtId="0" fontId="14" fillId="60" borderId="84" xfId="0" applyFont="1" applyFill="1" applyBorder="1" applyAlignment="1" applyProtection="1">
      <alignment horizontal="center" vertical="center" wrapText="1"/>
      <protection hidden="1"/>
    </xf>
    <xf numFmtId="0" fontId="14" fillId="60" borderId="85" xfId="0" applyFont="1" applyFill="1" applyBorder="1" applyAlignment="1" applyProtection="1">
      <alignment horizontal="center" vertical="center" wrapText="1"/>
      <protection hidden="1"/>
    </xf>
    <xf numFmtId="0" fontId="46" fillId="60" borderId="86" xfId="0" applyFont="1" applyFill="1" applyBorder="1" applyAlignment="1" applyProtection="1">
      <alignment horizontal="center" vertical="center" wrapText="1"/>
      <protection hidden="1"/>
    </xf>
    <xf numFmtId="0" fontId="33" fillId="52" borderId="87" xfId="0" applyFont="1" applyFill="1" applyBorder="1" applyAlignment="1" applyProtection="1">
      <alignment horizontal="center" vertical="center" wrapText="1"/>
      <protection hidden="1"/>
    </xf>
    <xf numFmtId="0" fontId="14" fillId="52" borderId="78" xfId="0" applyFont="1" applyFill="1" applyBorder="1" applyAlignment="1" applyProtection="1">
      <alignment horizontal="center" vertical="center" wrapText="1"/>
      <protection hidden="1"/>
    </xf>
    <xf numFmtId="0" fontId="14" fillId="52" borderId="88" xfId="0" applyFont="1" applyFill="1" applyBorder="1" applyAlignment="1" applyProtection="1">
      <alignment horizontal="center" vertical="center" wrapText="1"/>
      <protection hidden="1"/>
    </xf>
    <xf numFmtId="0" fontId="46" fillId="52" borderId="89" xfId="0" applyFont="1" applyFill="1" applyBorder="1" applyAlignment="1" applyProtection="1">
      <alignment horizontal="center" vertical="center" wrapText="1"/>
      <protection hidden="1"/>
    </xf>
    <xf numFmtId="0" fontId="14" fillId="52" borderId="50" xfId="0" applyFont="1" applyFill="1" applyBorder="1" applyAlignment="1" applyProtection="1">
      <alignment horizontal="center" vertical="center" wrapText="1"/>
      <protection hidden="1"/>
    </xf>
    <xf numFmtId="0" fontId="14" fillId="52" borderId="90" xfId="0" applyFont="1" applyFill="1" applyBorder="1" applyAlignment="1" applyProtection="1">
      <alignment horizontal="center" vertical="center" wrapText="1"/>
      <protection hidden="1"/>
    </xf>
    <xf numFmtId="0" fontId="46" fillId="52" borderId="91" xfId="0" applyFont="1" applyFill="1" applyBorder="1" applyAlignment="1" applyProtection="1">
      <alignment horizontal="center" vertical="center" wrapText="1"/>
      <protection hidden="1"/>
    </xf>
    <xf numFmtId="0" fontId="33" fillId="55" borderId="87" xfId="0" applyFont="1" applyFill="1" applyBorder="1" applyAlignment="1" applyProtection="1">
      <alignment horizontal="center" vertical="center" wrapText="1"/>
      <protection hidden="1"/>
    </xf>
    <xf numFmtId="0" fontId="14" fillId="55" borderId="78" xfId="0" applyFont="1" applyFill="1" applyBorder="1" applyAlignment="1" applyProtection="1">
      <alignment horizontal="center" vertical="center" wrapText="1"/>
      <protection hidden="1"/>
    </xf>
    <xf numFmtId="0" fontId="14" fillId="55" borderId="88" xfId="0" applyFont="1" applyFill="1" applyBorder="1" applyAlignment="1" applyProtection="1">
      <alignment horizontal="center" vertical="center" wrapText="1"/>
      <protection hidden="1"/>
    </xf>
    <xf numFmtId="0" fontId="46" fillId="55" borderId="89" xfId="0" applyFont="1" applyFill="1" applyBorder="1" applyAlignment="1" applyProtection="1">
      <alignment horizontal="center" vertical="center" wrapText="1"/>
      <protection hidden="1"/>
    </xf>
    <xf numFmtId="0" fontId="14" fillId="55" borderId="50" xfId="0" applyFont="1" applyFill="1" applyBorder="1" applyAlignment="1" applyProtection="1">
      <alignment horizontal="center" vertical="center" wrapText="1"/>
      <protection hidden="1"/>
    </xf>
    <xf numFmtId="0" fontId="14" fillId="55" borderId="90" xfId="0" applyFont="1" applyFill="1" applyBorder="1" applyAlignment="1" applyProtection="1">
      <alignment horizontal="center" vertical="center" wrapText="1"/>
      <protection hidden="1"/>
    </xf>
    <xf numFmtId="0" fontId="46" fillId="55" borderId="91" xfId="0" applyFont="1" applyFill="1" applyBorder="1" applyAlignment="1" applyProtection="1">
      <alignment horizontal="center" vertical="center" wrapText="1"/>
      <protection hidden="1"/>
    </xf>
    <xf numFmtId="0" fontId="33" fillId="55" borderId="92" xfId="0" applyFont="1" applyFill="1" applyBorder="1" applyAlignment="1" applyProtection="1">
      <alignment horizontal="center" vertical="center" wrapText="1"/>
      <protection hidden="1"/>
    </xf>
    <xf numFmtId="0" fontId="14" fillId="55" borderId="93" xfId="0" applyFont="1" applyFill="1" applyBorder="1" applyAlignment="1" applyProtection="1">
      <alignment horizontal="center" vertical="center" wrapText="1"/>
      <protection hidden="1"/>
    </xf>
    <xf numFmtId="0" fontId="14" fillId="55" borderId="94" xfId="0" applyFont="1" applyFill="1" applyBorder="1" applyAlignment="1" applyProtection="1">
      <alignment horizontal="center" vertical="center" wrapText="1"/>
      <protection hidden="1"/>
    </xf>
    <xf numFmtId="0" fontId="46" fillId="55" borderId="95" xfId="0" applyFont="1" applyFill="1" applyBorder="1" applyAlignment="1" applyProtection="1">
      <alignment horizontal="center" vertical="center" wrapText="1"/>
      <protection hidden="1"/>
    </xf>
    <xf numFmtId="49" fontId="33" fillId="50" borderId="96" xfId="0" applyNumberFormat="1" applyFont="1" applyFill="1" applyBorder="1" applyAlignment="1" applyProtection="1">
      <alignment horizontal="center" vertical="center" wrapText="1"/>
      <protection hidden="1"/>
    </xf>
    <xf numFmtId="0" fontId="14" fillId="50" borderId="97" xfId="0" applyFont="1" applyFill="1" applyBorder="1" applyAlignment="1" applyProtection="1">
      <alignment horizontal="center" vertical="center" wrapText="1"/>
      <protection hidden="1"/>
    </xf>
    <xf numFmtId="0" fontId="14" fillId="50" borderId="98" xfId="0" applyFont="1" applyFill="1" applyBorder="1" applyAlignment="1" applyProtection="1">
      <alignment horizontal="center" vertical="center" wrapText="1"/>
      <protection hidden="1"/>
    </xf>
    <xf numFmtId="0" fontId="46" fillId="50" borderId="99" xfId="0" applyFont="1" applyFill="1" applyBorder="1" applyAlignment="1" applyProtection="1">
      <alignment horizontal="center" vertical="center" wrapText="1"/>
      <protection hidden="1"/>
    </xf>
    <xf numFmtId="49" fontId="33" fillId="50" borderId="53" xfId="0" applyNumberFormat="1" applyFont="1" applyFill="1" applyBorder="1" applyAlignment="1" applyProtection="1">
      <alignment horizontal="center" vertical="center" wrapText="1"/>
      <protection hidden="1"/>
    </xf>
    <xf numFmtId="0" fontId="14" fillId="50" borderId="50" xfId="0" applyFont="1" applyFill="1" applyBorder="1" applyAlignment="1" applyProtection="1">
      <alignment horizontal="center" vertical="center" wrapText="1"/>
      <protection hidden="1"/>
    </xf>
    <xf numFmtId="0" fontId="14" fillId="50" borderId="90" xfId="0" applyFont="1" applyFill="1" applyBorder="1" applyAlignment="1" applyProtection="1">
      <alignment horizontal="center" vertical="center" wrapText="1"/>
      <protection hidden="1"/>
    </xf>
    <xf numFmtId="0" fontId="46" fillId="50" borderId="91" xfId="0" applyFont="1" applyFill="1" applyBorder="1" applyAlignment="1" applyProtection="1">
      <alignment horizontal="center" vertical="center" wrapText="1"/>
      <protection hidden="1"/>
    </xf>
    <xf numFmtId="0" fontId="33" fillId="50" borderId="53" xfId="0" applyFont="1" applyFill="1" applyBorder="1" applyAlignment="1" applyProtection="1">
      <alignment horizontal="center" vertical="center" wrapText="1"/>
      <protection hidden="1"/>
    </xf>
    <xf numFmtId="0" fontId="33" fillId="50" borderId="100" xfId="0" applyFont="1" applyFill="1" applyBorder="1" applyAlignment="1" applyProtection="1">
      <alignment horizontal="center" vertical="center" wrapText="1"/>
      <protection hidden="1"/>
    </xf>
    <xf numFmtId="0" fontId="14" fillId="50" borderId="51" xfId="0" applyFont="1" applyFill="1" applyBorder="1" applyAlignment="1" applyProtection="1">
      <alignment horizontal="center" vertical="center" wrapText="1"/>
      <protection hidden="1"/>
    </xf>
    <xf numFmtId="0" fontId="14" fillId="50" borderId="101" xfId="0" applyFont="1" applyFill="1" applyBorder="1" applyAlignment="1" applyProtection="1">
      <alignment horizontal="center" vertical="center" wrapText="1"/>
      <protection hidden="1"/>
    </xf>
    <xf numFmtId="0" fontId="46" fillId="50" borderId="102" xfId="0" applyFont="1" applyFill="1" applyBorder="1" applyAlignment="1" applyProtection="1">
      <alignment horizontal="center" vertical="center" wrapText="1"/>
      <protection hidden="1"/>
    </xf>
    <xf numFmtId="0" fontId="102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113" fillId="47" borderId="25" xfId="0" applyFont="1" applyFill="1" applyBorder="1" applyAlignment="1" applyProtection="1">
      <alignment horizontal="left" vertical="center" wrapText="1" indent="1"/>
      <protection hidden="1"/>
    </xf>
    <xf numFmtId="0" fontId="113" fillId="47" borderId="103" xfId="0" applyFont="1" applyFill="1" applyBorder="1" applyAlignment="1" applyProtection="1">
      <alignment horizontal="left" vertical="center" wrapText="1" indent="1"/>
      <protection hidden="1"/>
    </xf>
    <xf numFmtId="0" fontId="113" fillId="47" borderId="104" xfId="0" applyFont="1" applyFill="1" applyBorder="1" applyAlignment="1" applyProtection="1">
      <alignment horizontal="left" vertical="center" wrapText="1" indent="1"/>
      <protection hidden="1"/>
    </xf>
    <xf numFmtId="0" fontId="9" fillId="0" borderId="0" xfId="0" applyFont="1" applyBorder="1" applyAlignment="1" applyProtection="1">
      <alignment wrapText="1" shrinkToFit="1"/>
      <protection hidden="1"/>
    </xf>
    <xf numFmtId="0" fontId="28" fillId="0" borderId="0" xfId="0" applyFont="1" applyBorder="1" applyAlignment="1" applyProtection="1">
      <alignment wrapText="1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8" fillId="48" borderId="0" xfId="0" applyFont="1" applyFill="1" applyAlignment="1" applyProtection="1">
      <alignment horizontal="center" vertical="center" wrapText="1"/>
      <protection hidden="1"/>
    </xf>
    <xf numFmtId="0" fontId="0" fillId="48" borderId="0" xfId="0" applyFill="1" applyAlignment="1">
      <alignment horizontal="center" vertical="center"/>
    </xf>
    <xf numFmtId="0" fontId="8" fillId="51" borderId="0" xfId="0" applyFont="1" applyFill="1" applyBorder="1" applyAlignment="1" applyProtection="1">
      <alignment horizontal="center" vertical="center" wrapText="1"/>
      <protection hidden="1"/>
    </xf>
    <xf numFmtId="0" fontId="0" fillId="51" borderId="0" xfId="0" applyFill="1" applyAlignment="1">
      <alignment vertical="center"/>
    </xf>
    <xf numFmtId="0" fontId="113" fillId="47" borderId="105" xfId="0" applyFont="1" applyFill="1" applyBorder="1" applyAlignment="1" applyProtection="1">
      <alignment horizontal="left" vertical="center" wrapText="1" indent="1"/>
      <protection hidden="1"/>
    </xf>
    <xf numFmtId="0" fontId="113" fillId="47" borderId="88" xfId="0" applyFont="1" applyFill="1" applyBorder="1" applyAlignment="1" applyProtection="1">
      <alignment horizontal="left" vertical="center" wrapText="1" indent="1"/>
      <protection hidden="1"/>
    </xf>
    <xf numFmtId="0" fontId="113" fillId="47" borderId="89" xfId="0" applyFont="1" applyFill="1" applyBorder="1" applyAlignment="1" applyProtection="1">
      <alignment horizontal="left" vertical="center" wrapText="1" indent="1"/>
      <protection hidden="1"/>
    </xf>
    <xf numFmtId="0" fontId="43" fillId="46" borderId="106" xfId="0" applyFont="1" applyFill="1" applyBorder="1" applyAlignment="1" applyProtection="1">
      <alignment horizontal="center" vertical="center" wrapText="1"/>
      <protection hidden="1"/>
    </xf>
    <xf numFmtId="0" fontId="0" fillId="0" borderId="107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32" fillId="46" borderId="111" xfId="0" applyFont="1" applyFill="1" applyBorder="1" applyAlignment="1" applyProtection="1">
      <alignment horizontal="center" vertical="center" wrapText="1"/>
      <protection hidden="1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8" fillId="0" borderId="0" xfId="0" applyFont="1" applyAlignment="1" applyProtection="1">
      <alignment vertical="center" textRotation="255"/>
      <protection hidden="1"/>
    </xf>
    <xf numFmtId="0" fontId="8" fillId="0" borderId="0" xfId="0" applyFont="1" applyAlignment="1">
      <alignment vertical="center" textRotation="255"/>
    </xf>
    <xf numFmtId="0" fontId="1" fillId="0" borderId="0" xfId="0" applyFont="1" applyAlignment="1">
      <alignment vertical="center"/>
    </xf>
    <xf numFmtId="0" fontId="8" fillId="44" borderId="0" xfId="0" applyFont="1" applyFill="1" applyAlignment="1" applyProtection="1">
      <alignment horizontal="center" vertical="center" textRotation="255"/>
      <protection hidden="1"/>
    </xf>
    <xf numFmtId="0" fontId="8" fillId="44" borderId="0" xfId="0" applyFont="1" applyFill="1" applyAlignment="1">
      <alignment horizontal="center" vertical="center" textRotation="255"/>
    </xf>
    <xf numFmtId="0" fontId="8" fillId="44" borderId="0" xfId="0" applyFont="1" applyFill="1" applyAlignment="1">
      <alignment horizontal="center" vertical="center"/>
    </xf>
    <xf numFmtId="0" fontId="113" fillId="47" borderId="114" xfId="0" applyFont="1" applyFill="1" applyBorder="1" applyAlignment="1" applyProtection="1">
      <alignment horizontal="left" vertical="center" wrapText="1" indent="1"/>
      <protection hidden="1"/>
    </xf>
    <xf numFmtId="0" fontId="113" fillId="47" borderId="115" xfId="0" applyFont="1" applyFill="1" applyBorder="1" applyAlignment="1" applyProtection="1">
      <alignment horizontal="left" vertical="center" wrapText="1" indent="1"/>
      <protection hidden="1"/>
    </xf>
    <xf numFmtId="0" fontId="14" fillId="42" borderId="116" xfId="0" applyFont="1" applyFill="1" applyBorder="1" applyAlignment="1" applyProtection="1">
      <alignment horizontal="center" vertical="center" wrapText="1"/>
      <protection hidden="1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31" fillId="61" borderId="119" xfId="0" applyFont="1" applyFill="1" applyBorder="1" applyAlignment="1" applyProtection="1">
      <alignment horizontal="center" vertical="center" wrapText="1"/>
      <protection hidden="1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113" fillId="47" borderId="121" xfId="0" applyFont="1" applyFill="1" applyBorder="1" applyAlignment="1" applyProtection="1">
      <alignment horizontal="left" vertical="center" wrapText="1" indent="1"/>
      <protection hidden="1"/>
    </xf>
    <xf numFmtId="0" fontId="113" fillId="47" borderId="122" xfId="0" applyFont="1" applyFill="1" applyBorder="1" applyAlignment="1" applyProtection="1">
      <alignment horizontal="left" vertical="center" wrapText="1" indent="1"/>
      <protection hidden="1"/>
    </xf>
    <xf numFmtId="0" fontId="113" fillId="47" borderId="123" xfId="0" applyFont="1" applyFill="1" applyBorder="1" applyAlignment="1" applyProtection="1">
      <alignment horizontal="left" vertical="center" wrapText="1" indent="1"/>
      <protection hidden="1"/>
    </xf>
    <xf numFmtId="0" fontId="32" fillId="43" borderId="124" xfId="0" applyFont="1" applyFill="1" applyBorder="1" applyAlignment="1" applyProtection="1">
      <alignment horizontal="center" vertical="center" wrapText="1"/>
      <protection hidden="1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50" fillId="56" borderId="0" xfId="0" applyFont="1" applyFill="1" applyAlignment="1" applyProtection="1">
      <alignment horizontal="distributed" vertical="top" wrapText="1"/>
      <protection hidden="1"/>
    </xf>
    <xf numFmtId="0" fontId="31" fillId="56" borderId="0" xfId="0" applyFont="1" applyFill="1" applyAlignment="1" applyProtection="1">
      <alignment vertical="top" wrapText="1"/>
      <protection hidden="1"/>
    </xf>
    <xf numFmtId="0" fontId="51" fillId="56" borderId="0" xfId="0" applyFont="1" applyFill="1" applyAlignment="1" applyProtection="1">
      <alignment horizontal="left" vertical="top" wrapText="1"/>
      <protection hidden="1"/>
    </xf>
    <xf numFmtId="0" fontId="114" fillId="56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13" fillId="47" borderId="107" xfId="0" applyFont="1" applyFill="1" applyBorder="1" applyAlignment="1" applyProtection="1">
      <alignment horizontal="left" vertical="center" wrapText="1" indent="1"/>
      <protection hidden="1"/>
    </xf>
    <xf numFmtId="0" fontId="113" fillId="47" borderId="119" xfId="0" applyFont="1" applyFill="1" applyBorder="1" applyAlignment="1" applyProtection="1">
      <alignment horizontal="left" vertical="center" wrapText="1" indent="1"/>
      <protection hidden="1"/>
    </xf>
    <xf numFmtId="0" fontId="113" fillId="47" borderId="83" xfId="0" applyFont="1" applyFill="1" applyBorder="1" applyAlignment="1" applyProtection="1">
      <alignment horizontal="left" vertical="center" wrapText="1" indent="1"/>
      <protection hidden="1"/>
    </xf>
    <xf numFmtId="0" fontId="14" fillId="56" borderId="0" xfId="0" applyFont="1" applyFill="1" applyAlignment="1" applyProtection="1">
      <alignment horizontal="left" vertical="center" wrapText="1"/>
      <protection hidden="1"/>
    </xf>
    <xf numFmtId="0" fontId="3" fillId="56" borderId="0" xfId="0" applyFont="1" applyFill="1" applyAlignment="1">
      <alignment horizontal="left" vertical="center" wrapText="1"/>
    </xf>
    <xf numFmtId="0" fontId="8" fillId="48" borderId="0" xfId="0" applyFont="1" applyFill="1" applyAlignment="1" applyProtection="1">
      <alignment horizontal="center" vertical="center" wrapText="1" shrinkToFit="1"/>
      <protection hidden="1"/>
    </xf>
    <xf numFmtId="0" fontId="25" fillId="36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29" xfId="0" applyFont="1" applyBorder="1" applyAlignment="1" applyProtection="1">
      <alignment vertical="center" wrapText="1"/>
      <protection hidden="1"/>
    </xf>
    <xf numFmtId="0" fontId="8" fillId="38" borderId="0" xfId="0" applyFont="1" applyFill="1" applyAlignment="1" applyProtection="1">
      <alignment horizontal="left" vertical="top" wrapText="1"/>
      <protection hidden="1"/>
    </xf>
    <xf numFmtId="0" fontId="39" fillId="62" borderId="130" xfId="0" applyFont="1" applyFill="1" applyBorder="1" applyAlignment="1" applyProtection="1">
      <alignment horizontal="left" vertical="center"/>
      <protection hidden="1"/>
    </xf>
    <xf numFmtId="0" fontId="40" fillId="0" borderId="88" xfId="0" applyFont="1" applyBorder="1" applyAlignment="1">
      <alignment vertical="center"/>
    </xf>
    <xf numFmtId="0" fontId="40" fillId="0" borderId="13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90" xfId="0" applyFont="1" applyBorder="1" applyAlignment="1">
      <alignment vertical="center"/>
    </xf>
    <xf numFmtId="0" fontId="40" fillId="0" borderId="132" xfId="0" applyFont="1" applyBorder="1" applyAlignment="1">
      <alignment vertical="center"/>
    </xf>
    <xf numFmtId="0" fontId="14" fillId="56" borderId="0" xfId="0" applyFont="1" applyFill="1" applyAlignment="1" applyProtection="1">
      <alignment horizontal="right" vertical="top" wrapText="1"/>
      <protection hidden="1"/>
    </xf>
    <xf numFmtId="0" fontId="16" fillId="56" borderId="0" xfId="0" applyFont="1" applyFill="1" applyAlignment="1" applyProtection="1">
      <alignment horizontal="left" vertical="center" wrapText="1"/>
      <protection hidden="1"/>
    </xf>
    <xf numFmtId="0" fontId="30" fillId="56" borderId="0" xfId="0" applyFont="1" applyFill="1" applyAlignment="1" applyProtection="1">
      <alignment horizontal="left" vertical="center" wrapText="1"/>
      <protection hidden="1"/>
    </xf>
    <xf numFmtId="0" fontId="16" fillId="56" borderId="0" xfId="0" applyFont="1" applyFill="1" applyAlignment="1" applyProtection="1">
      <alignment horizontal="left" vertical="top" wrapText="1"/>
      <protection hidden="1"/>
    </xf>
    <xf numFmtId="0" fontId="30" fillId="56" borderId="0" xfId="0" applyFont="1" applyFill="1" applyAlignment="1" applyProtection="1">
      <alignment horizontal="left" vertical="top" wrapText="1"/>
      <protection hidden="1"/>
    </xf>
    <xf numFmtId="0" fontId="8" fillId="56" borderId="0" xfId="0" applyFont="1" applyFill="1" applyAlignment="1" applyProtection="1">
      <alignment horizontal="left" vertical="top" wrapText="1"/>
      <protection hidden="1"/>
    </xf>
    <xf numFmtId="0" fontId="0" fillId="56" borderId="0" xfId="0" applyFill="1" applyAlignment="1" applyProtection="1">
      <alignment vertical="top"/>
      <protection hidden="1"/>
    </xf>
    <xf numFmtId="0" fontId="17" fillId="40" borderId="133" xfId="45" applyFont="1" applyFill="1" applyBorder="1" applyAlignment="1" applyProtection="1">
      <alignment horizontal="center" vertical="center"/>
      <protection hidden="1"/>
    </xf>
    <xf numFmtId="0" fontId="1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31" fillId="56" borderId="0" xfId="0" applyFont="1" applyFill="1" applyAlignment="1" applyProtection="1">
      <alignment horizontal="distributed" vertical="top" wrapText="1"/>
      <protection hidden="1"/>
    </xf>
    <xf numFmtId="0" fontId="1" fillId="56" borderId="0" xfId="0" applyFont="1" applyFill="1" applyAlignment="1" applyProtection="1">
      <alignment horizontal="left" vertical="top" wrapText="1"/>
      <protection hidden="1"/>
    </xf>
    <xf numFmtId="0" fontId="21" fillId="36" borderId="0" xfId="0" applyFont="1" applyFill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 wrapText="1"/>
    </xf>
    <xf numFmtId="0" fontId="22" fillId="0" borderId="129" xfId="0" applyFont="1" applyBorder="1" applyAlignment="1">
      <alignment vertical="center" wrapText="1"/>
    </xf>
    <xf numFmtId="0" fontId="26" fillId="36" borderId="13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5" xfId="0" applyFont="1" applyBorder="1" applyAlignment="1">
      <alignment vertical="center"/>
    </xf>
    <xf numFmtId="0" fontId="1" fillId="0" borderId="136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37" xfId="0" applyFont="1" applyBorder="1" applyAlignment="1">
      <alignment vertical="center"/>
    </xf>
    <xf numFmtId="0" fontId="1" fillId="0" borderId="138" xfId="0" applyFont="1" applyBorder="1" applyAlignment="1">
      <alignment vertical="center"/>
    </xf>
    <xf numFmtId="0" fontId="14" fillId="56" borderId="0" xfId="0" applyFont="1" applyFill="1" applyAlignment="1" applyProtection="1">
      <alignment horizontal="right" vertical="center" wrapText="1"/>
      <protection hidden="1"/>
    </xf>
    <xf numFmtId="0" fontId="16" fillId="42" borderId="0" xfId="0" applyFont="1" applyFill="1" applyAlignment="1" applyProtection="1">
      <alignment horizontal="center" vertical="center" wrapText="1" shrinkToFit="1"/>
      <protection hidden="1"/>
    </xf>
    <xf numFmtId="0" fontId="0" fillId="0" borderId="0" xfId="0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31" fillId="61" borderId="139" xfId="0" applyFont="1" applyFill="1" applyBorder="1" applyAlignment="1" applyProtection="1">
      <alignment horizontal="center" vertical="center" wrapText="1"/>
      <protection hidden="1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vertical="center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 shrinkToFit="1"/>
    </xf>
    <xf numFmtId="0" fontId="8" fillId="33" borderId="0" xfId="0" applyFont="1" applyFill="1" applyBorder="1" applyAlignment="1" applyProtection="1">
      <alignment horizontal="center" vertical="center" wrapText="1" shrinkToFit="1"/>
      <protection hidden="1"/>
    </xf>
    <xf numFmtId="0" fontId="28" fillId="0" borderId="0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textRotation="255"/>
      <protection hidden="1"/>
    </xf>
    <xf numFmtId="0" fontId="1" fillId="0" borderId="0" xfId="0" applyFont="1" applyAlignment="1">
      <alignment horizontal="center" vertical="center"/>
    </xf>
    <xf numFmtId="0" fontId="32" fillId="42" borderId="96" xfId="0" applyFont="1" applyFill="1" applyBorder="1" applyAlignment="1" applyProtection="1">
      <alignment horizontal="center" vertical="center" wrapText="1"/>
      <protection hidden="1"/>
    </xf>
    <xf numFmtId="0" fontId="32" fillId="0" borderId="141" xfId="0" applyFont="1" applyBorder="1" applyAlignment="1" applyProtection="1">
      <alignment horizontal="center" vertical="center" wrapText="1"/>
      <protection hidden="1"/>
    </xf>
    <xf numFmtId="0" fontId="8" fillId="40" borderId="0" xfId="0" applyFont="1" applyFill="1" applyAlignment="1">
      <alignment horizontal="center" vertical="center"/>
    </xf>
    <xf numFmtId="0" fontId="27" fillId="36" borderId="142" xfId="0" applyFont="1" applyFill="1" applyBorder="1" applyAlignment="1" applyProtection="1">
      <alignment horizontal="left" vertical="center" wrapText="1"/>
      <protection hidden="1"/>
    </xf>
    <xf numFmtId="0" fontId="27" fillId="36" borderId="0" xfId="0" applyFont="1" applyFill="1" applyBorder="1" applyAlignment="1" applyProtection="1">
      <alignment horizontal="left" vertical="center" wrapText="1"/>
      <protection hidden="1"/>
    </xf>
    <xf numFmtId="0" fontId="8" fillId="43" borderId="0" xfId="0" applyFont="1" applyFill="1" applyAlignment="1" applyProtection="1">
      <alignment horizontal="center" vertical="center" textRotation="255"/>
      <protection hidden="1"/>
    </xf>
    <xf numFmtId="0" fontId="8" fillId="43" borderId="0" xfId="0" applyFont="1" applyFill="1" applyAlignment="1">
      <alignment horizontal="center" vertical="center" textRotation="255"/>
    </xf>
    <xf numFmtId="0" fontId="8" fillId="58" borderId="0" xfId="0" applyFont="1" applyFill="1" applyAlignment="1" applyProtection="1">
      <alignment horizontal="center" vertical="center" wrapText="1" shrinkToFit="1"/>
      <protection hidden="1"/>
    </xf>
    <xf numFmtId="0" fontId="1" fillId="43" borderId="0" xfId="0" applyFont="1" applyFill="1" applyAlignment="1">
      <alignment horizontal="center" vertical="center"/>
    </xf>
    <xf numFmtId="0" fontId="8" fillId="39" borderId="0" xfId="0" applyFont="1" applyFill="1" applyAlignment="1" applyProtection="1">
      <alignment horizontal="center" vertical="center" wrapText="1" shrinkToFit="1"/>
      <protection hidden="1"/>
    </xf>
    <xf numFmtId="0" fontId="8" fillId="41" borderId="0" xfId="0" applyFont="1" applyFill="1" applyAlignment="1" applyProtection="1">
      <alignment horizontal="center" vertical="center" wrapText="1" shrinkToFit="1"/>
      <protection hidden="1"/>
    </xf>
    <xf numFmtId="0" fontId="9" fillId="40" borderId="0" xfId="0" applyFont="1" applyFill="1" applyAlignment="1" applyProtection="1">
      <alignment horizontal="center" vertical="center" wrapText="1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56" borderId="0" xfId="0" applyFont="1" applyFill="1" applyAlignment="1" applyProtection="1">
      <alignment vertical="top"/>
      <protection hidden="1"/>
    </xf>
    <xf numFmtId="0" fontId="14" fillId="56" borderId="0" xfId="0" applyFont="1" applyFill="1" applyBorder="1" applyAlignment="1" applyProtection="1">
      <alignment horizontal="center" vertical="top" wrapText="1"/>
      <protection hidden="1"/>
    </xf>
    <xf numFmtId="0" fontId="14" fillId="42" borderId="143" xfId="0" applyFont="1" applyFill="1" applyBorder="1" applyAlignment="1" applyProtection="1">
      <alignment horizontal="center" vertical="center" wrapText="1"/>
      <protection hidden="1"/>
    </xf>
    <xf numFmtId="0" fontId="0" fillId="0" borderId="144" xfId="0" applyBorder="1" applyAlignment="1">
      <alignment vertical="center"/>
    </xf>
    <xf numFmtId="0" fontId="8" fillId="52" borderId="145" xfId="0" applyFont="1" applyFill="1" applyBorder="1" applyAlignment="1" applyProtection="1">
      <alignment horizontal="center" vertical="center" wrapText="1"/>
      <protection hidden="1"/>
    </xf>
    <xf numFmtId="0" fontId="8" fillId="52" borderId="146" xfId="0" applyFont="1" applyFill="1" applyBorder="1" applyAlignment="1" applyProtection="1">
      <alignment horizontal="center" vertical="center" wrapText="1"/>
      <protection hidden="1"/>
    </xf>
    <xf numFmtId="0" fontId="8" fillId="52" borderId="147" xfId="0" applyFont="1" applyFill="1" applyBorder="1" applyAlignment="1" applyProtection="1">
      <alignment horizontal="center" vertical="center" wrapText="1"/>
      <protection hidden="1"/>
    </xf>
    <xf numFmtId="0" fontId="8" fillId="52" borderId="148" xfId="0" applyFont="1" applyFill="1" applyBorder="1" applyAlignment="1" applyProtection="1">
      <alignment horizontal="center" vertical="center" wrapText="1"/>
      <protection hidden="1"/>
    </xf>
    <xf numFmtId="0" fontId="8" fillId="52" borderId="149" xfId="0" applyFont="1" applyFill="1" applyBorder="1" applyAlignment="1" applyProtection="1">
      <alignment horizontal="center" vertical="center" wrapText="1"/>
      <protection hidden="1"/>
    </xf>
    <xf numFmtId="0" fontId="8" fillId="52" borderId="150" xfId="0" applyFont="1" applyFill="1" applyBorder="1" applyAlignment="1" applyProtection="1">
      <alignment horizontal="center" vertical="center" wrapText="1"/>
      <protection hidden="1"/>
    </xf>
    <xf numFmtId="0" fontId="8" fillId="55" borderId="151" xfId="0" applyFont="1" applyFill="1" applyBorder="1" applyAlignment="1" applyProtection="1">
      <alignment horizontal="center" vertical="center" wrapText="1"/>
      <protection hidden="1"/>
    </xf>
    <xf numFmtId="0" fontId="8" fillId="55" borderId="152" xfId="0" applyFont="1" applyFill="1" applyBorder="1" applyAlignment="1" applyProtection="1">
      <alignment horizontal="center" vertical="center" wrapText="1"/>
      <protection hidden="1"/>
    </xf>
    <xf numFmtId="0" fontId="8" fillId="55" borderId="153" xfId="0" applyFont="1" applyFill="1" applyBorder="1" applyAlignment="1" applyProtection="1">
      <alignment horizontal="center" vertical="center" wrapText="1"/>
      <protection hidden="1"/>
    </xf>
    <xf numFmtId="0" fontId="8" fillId="55" borderId="145" xfId="0" applyFont="1" applyFill="1" applyBorder="1" applyAlignment="1" applyProtection="1">
      <alignment horizontal="center" vertical="center" wrapText="1"/>
      <protection hidden="1"/>
    </xf>
    <xf numFmtId="0" fontId="8" fillId="55" borderId="146" xfId="0" applyFont="1" applyFill="1" applyBorder="1" applyAlignment="1" applyProtection="1">
      <alignment horizontal="center" vertical="center" wrapText="1"/>
      <protection hidden="1"/>
    </xf>
    <xf numFmtId="0" fontId="8" fillId="55" borderId="147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8" fillId="60" borderId="154" xfId="0" applyFont="1" applyFill="1" applyBorder="1" applyAlignment="1" applyProtection="1">
      <alignment horizontal="center" vertical="center" wrapText="1"/>
      <protection hidden="1"/>
    </xf>
    <xf numFmtId="0" fontId="8" fillId="60" borderId="0" xfId="0" applyFont="1" applyFill="1" applyBorder="1" applyAlignment="1" applyProtection="1">
      <alignment horizontal="center" vertical="center" wrapText="1"/>
      <protection hidden="1"/>
    </xf>
    <xf numFmtId="0" fontId="8" fillId="60" borderId="107" xfId="0" applyFont="1" applyFill="1" applyBorder="1" applyAlignment="1" applyProtection="1">
      <alignment horizontal="center" vertical="center" wrapText="1"/>
      <protection hidden="1"/>
    </xf>
    <xf numFmtId="0" fontId="8" fillId="52" borderId="151" xfId="0" applyFont="1" applyFill="1" applyBorder="1" applyAlignment="1" applyProtection="1">
      <alignment horizontal="center" vertical="center" wrapText="1"/>
      <protection hidden="1"/>
    </xf>
    <xf numFmtId="0" fontId="8" fillId="52" borderId="152" xfId="0" applyFont="1" applyFill="1" applyBorder="1" applyAlignment="1" applyProtection="1">
      <alignment horizontal="center" vertical="center" wrapText="1"/>
      <protection hidden="1"/>
    </xf>
    <xf numFmtId="0" fontId="8" fillId="52" borderId="153" xfId="0" applyFont="1" applyFill="1" applyBorder="1" applyAlignment="1" applyProtection="1">
      <alignment horizontal="center" vertical="center" wrapText="1"/>
      <protection hidden="1"/>
    </xf>
    <xf numFmtId="0" fontId="19" fillId="36" borderId="155" xfId="45" applyFont="1" applyFill="1" applyBorder="1" applyAlignment="1" applyProtection="1">
      <alignment horizontal="center" vertical="center" wrapText="1" shrinkToFit="1"/>
      <protection hidden="1"/>
    </xf>
    <xf numFmtId="0" fontId="19" fillId="36" borderId="156" xfId="45" applyFont="1" applyFill="1" applyBorder="1" applyAlignment="1" applyProtection="1">
      <alignment vertical="center"/>
      <protection hidden="1"/>
    </xf>
    <xf numFmtId="0" fontId="19" fillId="36" borderId="157" xfId="45" applyFont="1" applyFill="1" applyBorder="1" applyAlignment="1" applyProtection="1">
      <alignment vertical="center"/>
      <protection hidden="1"/>
    </xf>
    <xf numFmtId="0" fontId="44" fillId="63" borderId="158" xfId="0" applyFont="1" applyFill="1" applyBorder="1" applyAlignment="1" applyProtection="1">
      <alignment horizontal="left" vertical="center" wrapText="1"/>
      <protection hidden="1"/>
    </xf>
    <xf numFmtId="0" fontId="45" fillId="63" borderId="159" xfId="0" applyFont="1" applyFill="1" applyBorder="1" applyAlignment="1" applyProtection="1">
      <alignment horizontal="left" vertical="center" wrapText="1"/>
      <protection hidden="1"/>
    </xf>
    <xf numFmtId="0" fontId="45" fillId="63" borderId="159" xfId="0" applyFont="1" applyFill="1" applyBorder="1" applyAlignment="1" applyProtection="1">
      <alignment horizontal="left" vertical="center"/>
      <protection hidden="1"/>
    </xf>
    <xf numFmtId="0" fontId="45" fillId="63" borderId="160" xfId="0" applyFont="1" applyFill="1" applyBorder="1" applyAlignment="1" applyProtection="1">
      <alignment horizontal="left" vertical="center"/>
      <protection hidden="1"/>
    </xf>
    <xf numFmtId="0" fontId="49" fillId="33" borderId="42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8" fillId="42" borderId="161" xfId="0" applyFont="1" applyFill="1" applyBorder="1" applyAlignment="1" applyProtection="1">
      <alignment horizontal="center" vertical="center" wrapText="1"/>
      <protection hidden="1"/>
    </xf>
    <xf numFmtId="0" fontId="8" fillId="0" borderId="98" xfId="0" applyFont="1" applyBorder="1" applyAlignment="1" applyProtection="1">
      <alignment horizontal="center" vertical="center" wrapText="1"/>
      <protection hidden="1"/>
    </xf>
    <xf numFmtId="0" fontId="8" fillId="0" borderId="162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14" fillId="42" borderId="163" xfId="0" applyFont="1" applyFill="1" applyBorder="1" applyAlignment="1" applyProtection="1">
      <alignment horizontal="center" vertical="center" wrapText="1"/>
      <protection hidden="1"/>
    </xf>
    <xf numFmtId="0" fontId="14" fillId="0" borderId="164" xfId="0" applyFont="1" applyBorder="1" applyAlignment="1" applyProtection="1">
      <alignment horizontal="center" vertical="center" wrapText="1"/>
      <protection hidden="1"/>
    </xf>
    <xf numFmtId="0" fontId="14" fillId="0" borderId="165" xfId="0" applyFont="1" applyBorder="1" applyAlignment="1" applyProtection="1">
      <alignment horizontal="center" vertical="center" wrapText="1"/>
      <protection hidden="1"/>
    </xf>
    <xf numFmtId="0" fontId="8" fillId="60" borderId="80" xfId="0" applyFont="1" applyFill="1" applyBorder="1" applyAlignment="1" applyProtection="1">
      <alignment horizontal="center" vertical="center" wrapText="1"/>
      <protection hidden="1"/>
    </xf>
    <xf numFmtId="0" fontId="8" fillId="60" borderId="166" xfId="0" applyFont="1" applyFill="1" applyBorder="1" applyAlignment="1" applyProtection="1">
      <alignment horizontal="center" vertical="center" wrapText="1"/>
      <protection hidden="1"/>
    </xf>
    <xf numFmtId="0" fontId="8" fillId="60" borderId="167" xfId="0" applyFont="1" applyFill="1" applyBorder="1" applyAlignment="1" applyProtection="1">
      <alignment horizontal="center" vertical="center" wrapText="1"/>
      <protection hidden="1"/>
    </xf>
    <xf numFmtId="0" fontId="8" fillId="55" borderId="168" xfId="0" applyFont="1" applyFill="1" applyBorder="1" applyAlignment="1" applyProtection="1">
      <alignment horizontal="center" vertical="center" wrapText="1"/>
      <protection hidden="1"/>
    </xf>
    <xf numFmtId="0" fontId="8" fillId="55" borderId="169" xfId="0" applyFont="1" applyFill="1" applyBorder="1" applyAlignment="1" applyProtection="1">
      <alignment horizontal="center" vertical="center" wrapText="1"/>
      <protection hidden="1"/>
    </xf>
    <xf numFmtId="0" fontId="8" fillId="55" borderId="170" xfId="0" applyFont="1" applyFill="1" applyBorder="1" applyAlignment="1" applyProtection="1">
      <alignment horizontal="center" vertical="center" wrapText="1"/>
      <protection hidden="1"/>
    </xf>
    <xf numFmtId="0" fontId="8" fillId="50" borderId="171" xfId="0" applyFont="1" applyFill="1" applyBorder="1" applyAlignment="1" applyProtection="1">
      <alignment horizontal="center" vertical="center" wrapText="1"/>
      <protection hidden="1"/>
    </xf>
    <xf numFmtId="0" fontId="8" fillId="50" borderId="164" xfId="0" applyFont="1" applyFill="1" applyBorder="1" applyAlignment="1" applyProtection="1">
      <alignment horizontal="center" vertical="center" wrapText="1"/>
      <protection hidden="1"/>
    </xf>
    <xf numFmtId="0" fontId="8" fillId="50" borderId="172" xfId="0" applyFont="1" applyFill="1" applyBorder="1" applyAlignment="1" applyProtection="1">
      <alignment horizontal="center" vertical="center" wrapText="1"/>
      <protection hidden="1"/>
    </xf>
    <xf numFmtId="0" fontId="8" fillId="50" borderId="145" xfId="0" applyFont="1" applyFill="1" applyBorder="1" applyAlignment="1" applyProtection="1">
      <alignment horizontal="center" vertical="center" wrapText="1"/>
      <protection hidden="1"/>
    </xf>
    <xf numFmtId="0" fontId="8" fillId="50" borderId="146" xfId="0" applyFont="1" applyFill="1" applyBorder="1" applyAlignment="1" applyProtection="1">
      <alignment horizontal="center" vertical="center" wrapText="1"/>
      <protection hidden="1"/>
    </xf>
    <xf numFmtId="0" fontId="8" fillId="50" borderId="147" xfId="0" applyFont="1" applyFill="1" applyBorder="1" applyAlignment="1" applyProtection="1">
      <alignment horizontal="center" vertical="center" wrapText="1"/>
      <protection hidden="1"/>
    </xf>
    <xf numFmtId="0" fontId="32" fillId="50" borderId="145" xfId="0" applyFont="1" applyFill="1" applyBorder="1" applyAlignment="1" applyProtection="1">
      <alignment horizontal="center" vertical="center" wrapText="1"/>
      <protection hidden="1"/>
    </xf>
    <xf numFmtId="0" fontId="32" fillId="50" borderId="146" xfId="0" applyFont="1" applyFill="1" applyBorder="1" applyAlignment="1" applyProtection="1">
      <alignment horizontal="center" vertical="center" wrapText="1"/>
      <protection hidden="1"/>
    </xf>
    <xf numFmtId="0" fontId="32" fillId="50" borderId="147" xfId="0" applyFont="1" applyFill="1" applyBorder="1" applyAlignment="1" applyProtection="1">
      <alignment horizontal="center" vertical="center" wrapText="1"/>
      <protection hidden="1"/>
    </xf>
    <xf numFmtId="0" fontId="32" fillId="50" borderId="173" xfId="0" applyFont="1" applyFill="1" applyBorder="1" applyAlignment="1" applyProtection="1">
      <alignment horizontal="center" vertical="center" wrapText="1"/>
      <protection hidden="1"/>
    </xf>
    <xf numFmtId="0" fontId="32" fillId="50" borderId="174" xfId="0" applyFont="1" applyFill="1" applyBorder="1" applyAlignment="1" applyProtection="1">
      <alignment horizontal="center" vertical="center" wrapText="1"/>
      <protection hidden="1"/>
    </xf>
    <xf numFmtId="0" fontId="32" fillId="50" borderId="175" xfId="0" applyFont="1" applyFill="1" applyBorder="1" applyAlignment="1" applyProtection="1">
      <alignment horizontal="center" vertical="center" wrapText="1"/>
      <protection hidden="1"/>
    </xf>
    <xf numFmtId="0" fontId="8" fillId="47" borderId="114" xfId="0" applyFont="1" applyFill="1" applyBorder="1" applyAlignment="1" applyProtection="1">
      <alignment horizontal="left" vertical="center" wrapText="1"/>
      <protection hidden="1"/>
    </xf>
    <xf numFmtId="0" fontId="8" fillId="47" borderId="103" xfId="0" applyFont="1" applyFill="1" applyBorder="1" applyAlignment="1" applyProtection="1">
      <alignment vertical="center" wrapText="1"/>
      <protection hidden="1"/>
    </xf>
    <xf numFmtId="0" fontId="8" fillId="47" borderId="115" xfId="0" applyFont="1" applyFill="1" applyBorder="1" applyAlignment="1" applyProtection="1">
      <alignment vertical="center" wrapText="1"/>
      <protection hidden="1"/>
    </xf>
    <xf numFmtId="0" fontId="18" fillId="56" borderId="0" xfId="0" applyFont="1" applyFill="1" applyAlignment="1" applyProtection="1">
      <alignment horizontal="left" vertical="top" wrapText="1"/>
      <protection hidden="1"/>
    </xf>
    <xf numFmtId="0" fontId="0" fillId="56" borderId="0" xfId="0" applyFill="1" applyAlignment="1" applyProtection="1">
      <alignment vertical="top" wrapText="1"/>
      <protection hidden="1"/>
    </xf>
    <xf numFmtId="0" fontId="32" fillId="35" borderId="176" xfId="0" applyFont="1" applyFill="1" applyBorder="1" applyAlignment="1" applyProtection="1">
      <alignment horizontal="center" vertical="center" wrapText="1"/>
      <protection hidden="1"/>
    </xf>
    <xf numFmtId="0" fontId="0" fillId="0" borderId="177" xfId="0" applyBorder="1" applyAlignment="1">
      <alignment vertical="center"/>
    </xf>
    <xf numFmtId="0" fontId="32" fillId="45" borderId="176" xfId="0" applyFont="1" applyFill="1" applyBorder="1" applyAlignment="1" applyProtection="1">
      <alignment horizontal="center" vertical="center" wrapText="1" shrinkToFit="1"/>
      <protection hidden="1"/>
    </xf>
    <xf numFmtId="0" fontId="0" fillId="0" borderId="178" xfId="0" applyBorder="1" applyAlignment="1">
      <alignment vertical="center"/>
    </xf>
    <xf numFmtId="0" fontId="0" fillId="0" borderId="179" xfId="0" applyBorder="1" applyAlignment="1">
      <alignment vertical="center"/>
    </xf>
    <xf numFmtId="0" fontId="8" fillId="54" borderId="0" xfId="0" applyFont="1" applyFill="1" applyAlignment="1" applyProtection="1">
      <alignment horizontal="right" vertical="center"/>
      <protection hidden="1"/>
    </xf>
    <xf numFmtId="0" fontId="0" fillId="54" borderId="0" xfId="0" applyFill="1" applyAlignment="1">
      <alignment vertical="center"/>
    </xf>
    <xf numFmtId="0" fontId="8" fillId="0" borderId="0" xfId="0" applyFont="1" applyFill="1" applyAlignment="1" applyProtection="1">
      <alignment horizontal="right" vertical="center"/>
      <protection hidden="1"/>
    </xf>
    <xf numFmtId="0" fontId="115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0">
    <dxf>
      <font>
        <color rgb="FFFFFFCC"/>
      </font>
    </dxf>
    <dxf>
      <font>
        <color rgb="FFFF99FF"/>
      </font>
    </dxf>
    <dxf>
      <font>
        <name val="新細明體"/>
        <color rgb="FFFF99FF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0000"/>
      </font>
    </dxf>
    <dxf>
      <font>
        <color indexed="44"/>
      </font>
      <fill>
        <patternFill>
          <bgColor indexed="44"/>
        </patternFill>
      </fill>
    </dxf>
    <dxf>
      <fill>
        <patternFill>
          <bgColor indexed="42"/>
        </patternFill>
      </fill>
    </dxf>
    <dxf>
      <font>
        <b/>
        <i val="0"/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b val="0"/>
        <i val="0"/>
        <u val="none"/>
        <strike val="0"/>
        <color indexed="10"/>
      </font>
      <fill>
        <patternFill>
          <bgColor indexed="11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0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color indexed="41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rgb="FFCCFFFF"/>
      </font>
      <border/>
    </dxf>
    <dxf>
      <font>
        <color rgb="FFFFFF00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00FF00"/>
        </patternFill>
      </fill>
      <border/>
    </dxf>
    <dxf>
      <font>
        <b val="0"/>
        <i val="0"/>
        <u val="none"/>
        <strike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00FF00"/>
        </patternFill>
      </fill>
      <border/>
    </dxf>
    <dxf>
      <font>
        <color rgb="FF969696"/>
      </font>
      <border/>
    </dxf>
    <dxf>
      <font>
        <b/>
        <i val="0"/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99CCFF"/>
      </font>
      <fill>
        <patternFill>
          <bgColor rgb="FF99CCFF"/>
        </patternFill>
      </fill>
      <border/>
    </dxf>
    <dxf>
      <font>
        <color rgb="FFFF0000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99FF"/>
      </font>
      <fill>
        <patternFill>
          <bgColor rgb="FFFFFFCC"/>
        </patternFill>
      </fill>
      <border/>
    </dxf>
    <dxf>
      <font>
        <color rgb="FFFF99FF"/>
      </font>
      <border/>
    </dxf>
    <dxf>
      <font>
        <color rgb="FFFF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skyman.url.tw/" TargetMode="External" /><Relationship Id="rId6" Type="http://schemas.openxmlformats.org/officeDocument/2006/relationships/hyperlink" Target="http://www.skyman.url.tw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140.111.14.213/" TargetMode="External" /><Relationship Id="rId9" Type="http://schemas.openxmlformats.org/officeDocument/2006/relationships/hyperlink" Target="http://140.111.14.213/" TargetMode="External" /><Relationship Id="rId10" Type="http://schemas.openxmlformats.org/officeDocument/2006/relationships/image" Target="../media/image6.png" /><Relationship Id="rId1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28</xdr:row>
      <xdr:rowOff>28575</xdr:rowOff>
    </xdr:from>
    <xdr:to>
      <xdr:col>26</xdr:col>
      <xdr:colOff>609600</xdr:colOff>
      <xdr:row>69</xdr:row>
      <xdr:rowOff>152400</xdr:rowOff>
    </xdr:to>
    <xdr:sp>
      <xdr:nvSpPr>
        <xdr:cNvPr id="1" name="矩形 1"/>
        <xdr:cNvSpPr>
          <a:spLocks/>
        </xdr:cNvSpPr>
      </xdr:nvSpPr>
      <xdr:spPr>
        <a:xfrm>
          <a:off x="7962900" y="5372100"/>
          <a:ext cx="561975" cy="82772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11</xdr:row>
      <xdr:rowOff>0</xdr:rowOff>
    </xdr:from>
    <xdr:to>
      <xdr:col>29</xdr:col>
      <xdr:colOff>38100</xdr:colOff>
      <xdr:row>27</xdr:row>
      <xdr:rowOff>0</xdr:rowOff>
    </xdr:to>
    <xdr:sp>
      <xdr:nvSpPr>
        <xdr:cNvPr id="2" name="Rectangle 616"/>
        <xdr:cNvSpPr>
          <a:spLocks/>
        </xdr:cNvSpPr>
      </xdr:nvSpPr>
      <xdr:spPr>
        <a:xfrm>
          <a:off x="485775" y="1847850"/>
          <a:ext cx="9439275" cy="33432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352425</xdr:colOff>
      <xdr:row>20</xdr:row>
      <xdr:rowOff>104775</xdr:rowOff>
    </xdr:from>
    <xdr:to>
      <xdr:col>64</xdr:col>
      <xdr:colOff>266700</xdr:colOff>
      <xdr:row>21</xdr:row>
      <xdr:rowOff>152400</xdr:rowOff>
    </xdr:to>
    <xdr:sp macro="[0]!Macro3">
      <xdr:nvSpPr>
        <xdr:cNvPr id="3" name="Text Box 567"/>
        <xdr:cNvSpPr txBox="1">
          <a:spLocks noChangeArrowheads="1"/>
        </xdr:cNvSpPr>
      </xdr:nvSpPr>
      <xdr:spPr>
        <a:xfrm>
          <a:off x="12801600" y="4381500"/>
          <a:ext cx="1085850" cy="2476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454545"/>
            </a:gs>
            <a:gs pos="100000">
              <a:srgbClr val="969696"/>
            </a:gs>
          </a:gsLst>
          <a:lin ang="5400000" scaled="1"/>
        </a:gra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993366"/>
              </a:solidFill>
            </a:rPr>
            <a:t>資料清除鈕</a:t>
          </a:r>
        </a:p>
      </xdr:txBody>
    </xdr:sp>
    <xdr:clientData/>
  </xdr:twoCellAnchor>
  <xdr:twoCellAnchor>
    <xdr:from>
      <xdr:col>26</xdr:col>
      <xdr:colOff>352425</xdr:colOff>
      <xdr:row>30</xdr:row>
      <xdr:rowOff>114300</xdr:rowOff>
    </xdr:from>
    <xdr:to>
      <xdr:col>27</xdr:col>
      <xdr:colOff>104775</xdr:colOff>
      <xdr:row>30</xdr:row>
      <xdr:rowOff>114300</xdr:rowOff>
    </xdr:to>
    <xdr:sp>
      <xdr:nvSpPr>
        <xdr:cNvPr id="4" name="直線單箭頭接點 106"/>
        <xdr:cNvSpPr>
          <a:spLocks/>
        </xdr:cNvSpPr>
      </xdr:nvSpPr>
      <xdr:spPr>
        <a:xfrm>
          <a:off x="8267700" y="6181725"/>
          <a:ext cx="4095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9525</xdr:rowOff>
    </xdr:from>
    <xdr:to>
      <xdr:col>23</xdr:col>
      <xdr:colOff>314325</xdr:colOff>
      <xdr:row>4</xdr:row>
      <xdr:rowOff>228600</xdr:rowOff>
    </xdr:to>
    <xdr:sp macro="[0]!Macro4">
      <xdr:nvSpPr>
        <xdr:cNvPr id="5" name="Text Box 610"/>
        <xdr:cNvSpPr txBox="1">
          <a:spLocks noChangeArrowheads="1"/>
        </xdr:cNvSpPr>
      </xdr:nvSpPr>
      <xdr:spPr>
        <a:xfrm>
          <a:off x="3933825" y="628650"/>
          <a:ext cx="723900" cy="219075"/>
        </a:xfrm>
        <a:prstGeom prst="rect">
          <a:avLst/>
        </a:prstGeom>
        <a:gradFill rotWithShape="1">
          <a:gsLst>
            <a:gs pos="0">
              <a:srgbClr val="B2B2B2"/>
            </a:gs>
            <a:gs pos="50000">
              <a:srgbClr val="525252"/>
            </a:gs>
            <a:gs pos="100000">
              <a:srgbClr val="B2B2B2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</a:rPr>
            <a:t>清除重填</a:t>
          </a:r>
        </a:p>
      </xdr:txBody>
    </xdr:sp>
    <xdr:clientData/>
  </xdr:twoCellAnchor>
  <xdr:twoCellAnchor>
    <xdr:from>
      <xdr:col>1</xdr:col>
      <xdr:colOff>0</xdr:colOff>
      <xdr:row>29</xdr:row>
      <xdr:rowOff>304800</xdr:rowOff>
    </xdr:from>
    <xdr:to>
      <xdr:col>1</xdr:col>
      <xdr:colOff>76200</xdr:colOff>
      <xdr:row>47</xdr:row>
      <xdr:rowOff>19050</xdr:rowOff>
    </xdr:to>
    <xdr:sp>
      <xdr:nvSpPr>
        <xdr:cNvPr id="6" name="Rectangle 686"/>
        <xdr:cNvSpPr>
          <a:spLocks/>
        </xdr:cNvSpPr>
      </xdr:nvSpPr>
      <xdr:spPr>
        <a:xfrm>
          <a:off x="133350" y="6019800"/>
          <a:ext cx="76200" cy="330517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276225</xdr:rowOff>
    </xdr:from>
    <xdr:to>
      <xdr:col>1</xdr:col>
      <xdr:colOff>352425</xdr:colOff>
      <xdr:row>46</xdr:row>
      <xdr:rowOff>180975</xdr:rowOff>
    </xdr:to>
    <xdr:sp>
      <xdr:nvSpPr>
        <xdr:cNvPr id="7" name="Rectangle 687"/>
        <xdr:cNvSpPr>
          <a:spLocks/>
        </xdr:cNvSpPr>
      </xdr:nvSpPr>
      <xdr:spPr>
        <a:xfrm>
          <a:off x="409575" y="5991225"/>
          <a:ext cx="76200" cy="330517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28575</xdr:rowOff>
    </xdr:from>
    <xdr:to>
      <xdr:col>1</xdr:col>
      <xdr:colOff>285750</xdr:colOff>
      <xdr:row>39</xdr:row>
      <xdr:rowOff>38100</xdr:rowOff>
    </xdr:to>
    <xdr:sp>
      <xdr:nvSpPr>
        <xdr:cNvPr id="8" name="AutoShape 688"/>
        <xdr:cNvSpPr>
          <a:spLocks/>
        </xdr:cNvSpPr>
      </xdr:nvSpPr>
      <xdr:spPr>
        <a:xfrm rot="5400000">
          <a:off x="200025" y="6858000"/>
          <a:ext cx="219075" cy="962025"/>
        </a:xfrm>
        <a:prstGeom prst="chevron">
          <a:avLst>
            <a:gd name="adj" fmla="val 38152"/>
          </a:avLst>
        </a:prstGeom>
        <a:solidFill>
          <a:srgbClr val="FFFF00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過渡期</a:t>
          </a:r>
        </a:p>
      </xdr:txBody>
    </xdr:sp>
    <xdr:clientData/>
  </xdr:twoCellAnchor>
  <xdr:twoCellAnchor>
    <xdr:from>
      <xdr:col>62</xdr:col>
      <xdr:colOff>85725</xdr:colOff>
      <xdr:row>22</xdr:row>
      <xdr:rowOff>0</xdr:rowOff>
    </xdr:from>
    <xdr:to>
      <xdr:col>62</xdr:col>
      <xdr:colOff>352425</xdr:colOff>
      <xdr:row>22</xdr:row>
      <xdr:rowOff>0</xdr:rowOff>
    </xdr:to>
    <xdr:sp>
      <xdr:nvSpPr>
        <xdr:cNvPr id="9" name="Rectangle 693"/>
        <xdr:cNvSpPr>
          <a:spLocks/>
        </xdr:cNvSpPr>
      </xdr:nvSpPr>
      <xdr:spPr>
        <a:xfrm>
          <a:off x="12925425" y="4705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年</a:t>
          </a:r>
        </a:p>
      </xdr:txBody>
    </xdr:sp>
    <xdr:clientData/>
  </xdr:twoCellAnchor>
  <xdr:twoCellAnchor>
    <xdr:from>
      <xdr:col>63</xdr:col>
      <xdr:colOff>66675</xdr:colOff>
      <xdr:row>22</xdr:row>
      <xdr:rowOff>0</xdr:rowOff>
    </xdr:from>
    <xdr:to>
      <xdr:col>63</xdr:col>
      <xdr:colOff>352425</xdr:colOff>
      <xdr:row>22</xdr:row>
      <xdr:rowOff>0</xdr:rowOff>
    </xdr:to>
    <xdr:sp>
      <xdr:nvSpPr>
        <xdr:cNvPr id="10" name="Rectangle 694"/>
        <xdr:cNvSpPr>
          <a:spLocks/>
        </xdr:cNvSpPr>
      </xdr:nvSpPr>
      <xdr:spPr>
        <a:xfrm>
          <a:off x="13296900" y="47053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月</a:t>
          </a:r>
        </a:p>
      </xdr:txBody>
    </xdr:sp>
    <xdr:clientData/>
  </xdr:twoCellAnchor>
  <xdr:twoCellAnchor>
    <xdr:from>
      <xdr:col>64</xdr:col>
      <xdr:colOff>66675</xdr:colOff>
      <xdr:row>22</xdr:row>
      <xdr:rowOff>0</xdr:rowOff>
    </xdr:from>
    <xdr:to>
      <xdr:col>64</xdr:col>
      <xdr:colOff>352425</xdr:colOff>
      <xdr:row>22</xdr:row>
      <xdr:rowOff>0</xdr:rowOff>
    </xdr:to>
    <xdr:sp>
      <xdr:nvSpPr>
        <xdr:cNvPr id="11" name="Rectangle 695"/>
        <xdr:cNvSpPr>
          <a:spLocks/>
        </xdr:cNvSpPr>
      </xdr:nvSpPr>
      <xdr:spPr>
        <a:xfrm>
          <a:off x="13687425" y="47053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日</a:t>
          </a:r>
        </a:p>
      </xdr:txBody>
    </xdr:sp>
    <xdr:clientData/>
  </xdr:twoCellAnchor>
  <xdr:twoCellAnchor>
    <xdr:from>
      <xdr:col>1</xdr:col>
      <xdr:colOff>123825</xdr:colOff>
      <xdr:row>13</xdr:row>
      <xdr:rowOff>85725</xdr:rowOff>
    </xdr:from>
    <xdr:to>
      <xdr:col>13</xdr:col>
      <xdr:colOff>142875</xdr:colOff>
      <xdr:row>20</xdr:row>
      <xdr:rowOff>114300</xdr:rowOff>
    </xdr:to>
    <xdr:grpSp>
      <xdr:nvGrpSpPr>
        <xdr:cNvPr id="12" name="Group 715"/>
        <xdr:cNvGrpSpPr>
          <a:grpSpLocks/>
        </xdr:cNvGrpSpPr>
      </xdr:nvGrpSpPr>
      <xdr:grpSpPr>
        <a:xfrm>
          <a:off x="257175" y="2209800"/>
          <a:ext cx="381000" cy="2181225"/>
          <a:chOff x="45" y="212"/>
          <a:chExt cx="40" cy="203"/>
        </a:xfrm>
        <a:solidFill>
          <a:srgbClr val="FFFFFF"/>
        </a:solidFill>
      </xdr:grpSpPr>
      <xdr:sp>
        <xdr:nvSpPr>
          <xdr:cNvPr id="13" name="AutoShape 710"/>
          <xdr:cNvSpPr>
            <a:spLocks/>
          </xdr:cNvSpPr>
        </xdr:nvSpPr>
        <xdr:spPr>
          <a:xfrm>
            <a:off x="45" y="250"/>
            <a:ext cx="40" cy="127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分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果</a:t>
            </a:r>
          </a:p>
        </xdr:txBody>
      </xdr:sp>
      <xdr:sp>
        <xdr:nvSpPr>
          <xdr:cNvPr id="14" name="AutoShape 711"/>
          <xdr:cNvSpPr>
            <a:spLocks/>
          </xdr:cNvSpPr>
        </xdr:nvSpPr>
        <xdr:spPr>
          <a:xfrm>
            <a:off x="45" y="212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AutoShape 712"/>
          <xdr:cNvSpPr>
            <a:spLocks/>
          </xdr:cNvSpPr>
        </xdr:nvSpPr>
        <xdr:spPr>
          <a:xfrm>
            <a:off x="45" y="231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AutoShape 713"/>
          <xdr:cNvSpPr>
            <a:spLocks/>
          </xdr:cNvSpPr>
        </xdr:nvSpPr>
        <xdr:spPr>
          <a:xfrm>
            <a:off x="45" y="384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AutoShape 714"/>
          <xdr:cNvSpPr>
            <a:spLocks/>
          </xdr:cNvSpPr>
        </xdr:nvSpPr>
        <xdr:spPr>
          <a:xfrm>
            <a:off x="45" y="403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29</xdr:row>
      <xdr:rowOff>219075</xdr:rowOff>
    </xdr:from>
    <xdr:to>
      <xdr:col>27</xdr:col>
      <xdr:colOff>0</xdr:colOff>
      <xdr:row>30</xdr:row>
      <xdr:rowOff>28575</xdr:rowOff>
    </xdr:to>
    <xdr:sp>
      <xdr:nvSpPr>
        <xdr:cNvPr id="18" name="Line 724"/>
        <xdr:cNvSpPr>
          <a:spLocks/>
        </xdr:cNvSpPr>
      </xdr:nvSpPr>
      <xdr:spPr>
        <a:xfrm>
          <a:off x="8572500" y="5934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190500</xdr:rowOff>
    </xdr:from>
    <xdr:to>
      <xdr:col>27</xdr:col>
      <xdr:colOff>0</xdr:colOff>
      <xdr:row>31</xdr:row>
      <xdr:rowOff>28575</xdr:rowOff>
    </xdr:to>
    <xdr:sp>
      <xdr:nvSpPr>
        <xdr:cNvPr id="19" name="Line 725"/>
        <xdr:cNvSpPr>
          <a:spLocks/>
        </xdr:cNvSpPr>
      </xdr:nvSpPr>
      <xdr:spPr>
        <a:xfrm>
          <a:off x="8572500" y="6257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190500</xdr:rowOff>
    </xdr:from>
    <xdr:to>
      <xdr:col>27</xdr:col>
      <xdr:colOff>0</xdr:colOff>
      <xdr:row>32</xdr:row>
      <xdr:rowOff>28575</xdr:rowOff>
    </xdr:to>
    <xdr:sp>
      <xdr:nvSpPr>
        <xdr:cNvPr id="20" name="Line 726"/>
        <xdr:cNvSpPr>
          <a:spLocks/>
        </xdr:cNvSpPr>
      </xdr:nvSpPr>
      <xdr:spPr>
        <a:xfrm>
          <a:off x="8572500" y="6448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190500</xdr:rowOff>
    </xdr:from>
    <xdr:to>
      <xdr:col>27</xdr:col>
      <xdr:colOff>0</xdr:colOff>
      <xdr:row>33</xdr:row>
      <xdr:rowOff>28575</xdr:rowOff>
    </xdr:to>
    <xdr:sp>
      <xdr:nvSpPr>
        <xdr:cNvPr id="21" name="Line 727"/>
        <xdr:cNvSpPr>
          <a:spLocks/>
        </xdr:cNvSpPr>
      </xdr:nvSpPr>
      <xdr:spPr>
        <a:xfrm>
          <a:off x="8572500" y="6638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190500</xdr:rowOff>
    </xdr:from>
    <xdr:to>
      <xdr:col>27</xdr:col>
      <xdr:colOff>0</xdr:colOff>
      <xdr:row>34</xdr:row>
      <xdr:rowOff>28575</xdr:rowOff>
    </xdr:to>
    <xdr:sp>
      <xdr:nvSpPr>
        <xdr:cNvPr id="22" name="Line 728"/>
        <xdr:cNvSpPr>
          <a:spLocks/>
        </xdr:cNvSpPr>
      </xdr:nvSpPr>
      <xdr:spPr>
        <a:xfrm>
          <a:off x="8572500" y="6829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190500</xdr:rowOff>
    </xdr:from>
    <xdr:to>
      <xdr:col>27</xdr:col>
      <xdr:colOff>0</xdr:colOff>
      <xdr:row>35</xdr:row>
      <xdr:rowOff>28575</xdr:rowOff>
    </xdr:to>
    <xdr:sp>
      <xdr:nvSpPr>
        <xdr:cNvPr id="23" name="Line 729"/>
        <xdr:cNvSpPr>
          <a:spLocks/>
        </xdr:cNvSpPr>
      </xdr:nvSpPr>
      <xdr:spPr>
        <a:xfrm>
          <a:off x="8572500" y="7019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190500</xdr:rowOff>
    </xdr:from>
    <xdr:to>
      <xdr:col>27</xdr:col>
      <xdr:colOff>0</xdr:colOff>
      <xdr:row>36</xdr:row>
      <xdr:rowOff>28575</xdr:rowOff>
    </xdr:to>
    <xdr:sp>
      <xdr:nvSpPr>
        <xdr:cNvPr id="24" name="Line 730"/>
        <xdr:cNvSpPr>
          <a:spLocks/>
        </xdr:cNvSpPr>
      </xdr:nvSpPr>
      <xdr:spPr>
        <a:xfrm>
          <a:off x="8572500" y="7210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190500</xdr:rowOff>
    </xdr:from>
    <xdr:to>
      <xdr:col>27</xdr:col>
      <xdr:colOff>0</xdr:colOff>
      <xdr:row>37</xdr:row>
      <xdr:rowOff>28575</xdr:rowOff>
    </xdr:to>
    <xdr:sp>
      <xdr:nvSpPr>
        <xdr:cNvPr id="25" name="Line 731"/>
        <xdr:cNvSpPr>
          <a:spLocks/>
        </xdr:cNvSpPr>
      </xdr:nvSpPr>
      <xdr:spPr>
        <a:xfrm>
          <a:off x="8572500" y="7400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190500</xdr:rowOff>
    </xdr:from>
    <xdr:to>
      <xdr:col>27</xdr:col>
      <xdr:colOff>0</xdr:colOff>
      <xdr:row>38</xdr:row>
      <xdr:rowOff>28575</xdr:rowOff>
    </xdr:to>
    <xdr:sp>
      <xdr:nvSpPr>
        <xdr:cNvPr id="26" name="Line 732"/>
        <xdr:cNvSpPr>
          <a:spLocks/>
        </xdr:cNvSpPr>
      </xdr:nvSpPr>
      <xdr:spPr>
        <a:xfrm>
          <a:off x="8572500" y="759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190500</xdr:rowOff>
    </xdr:from>
    <xdr:to>
      <xdr:col>27</xdr:col>
      <xdr:colOff>0</xdr:colOff>
      <xdr:row>39</xdr:row>
      <xdr:rowOff>28575</xdr:rowOff>
    </xdr:to>
    <xdr:sp>
      <xdr:nvSpPr>
        <xdr:cNvPr id="27" name="Line 733"/>
        <xdr:cNvSpPr>
          <a:spLocks/>
        </xdr:cNvSpPr>
      </xdr:nvSpPr>
      <xdr:spPr>
        <a:xfrm>
          <a:off x="8572500" y="7781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190500</xdr:rowOff>
    </xdr:from>
    <xdr:to>
      <xdr:col>27</xdr:col>
      <xdr:colOff>0</xdr:colOff>
      <xdr:row>40</xdr:row>
      <xdr:rowOff>28575</xdr:rowOff>
    </xdr:to>
    <xdr:sp>
      <xdr:nvSpPr>
        <xdr:cNvPr id="28" name="Line 734"/>
        <xdr:cNvSpPr>
          <a:spLocks/>
        </xdr:cNvSpPr>
      </xdr:nvSpPr>
      <xdr:spPr>
        <a:xfrm>
          <a:off x="8572500" y="7972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190500</xdr:rowOff>
    </xdr:from>
    <xdr:to>
      <xdr:col>27</xdr:col>
      <xdr:colOff>0</xdr:colOff>
      <xdr:row>41</xdr:row>
      <xdr:rowOff>28575</xdr:rowOff>
    </xdr:to>
    <xdr:sp>
      <xdr:nvSpPr>
        <xdr:cNvPr id="29" name="Line 735"/>
        <xdr:cNvSpPr>
          <a:spLocks/>
        </xdr:cNvSpPr>
      </xdr:nvSpPr>
      <xdr:spPr>
        <a:xfrm>
          <a:off x="8572500" y="8162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190500</xdr:rowOff>
    </xdr:from>
    <xdr:to>
      <xdr:col>27</xdr:col>
      <xdr:colOff>0</xdr:colOff>
      <xdr:row>42</xdr:row>
      <xdr:rowOff>28575</xdr:rowOff>
    </xdr:to>
    <xdr:sp>
      <xdr:nvSpPr>
        <xdr:cNvPr id="30" name="Line 736"/>
        <xdr:cNvSpPr>
          <a:spLocks/>
        </xdr:cNvSpPr>
      </xdr:nvSpPr>
      <xdr:spPr>
        <a:xfrm>
          <a:off x="8572500" y="8353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190500</xdr:rowOff>
    </xdr:from>
    <xdr:to>
      <xdr:col>27</xdr:col>
      <xdr:colOff>0</xdr:colOff>
      <xdr:row>43</xdr:row>
      <xdr:rowOff>28575</xdr:rowOff>
    </xdr:to>
    <xdr:sp>
      <xdr:nvSpPr>
        <xdr:cNvPr id="31" name="Line 737"/>
        <xdr:cNvSpPr>
          <a:spLocks/>
        </xdr:cNvSpPr>
      </xdr:nvSpPr>
      <xdr:spPr>
        <a:xfrm>
          <a:off x="8572500" y="8543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190500</xdr:rowOff>
    </xdr:from>
    <xdr:to>
      <xdr:col>27</xdr:col>
      <xdr:colOff>0</xdr:colOff>
      <xdr:row>44</xdr:row>
      <xdr:rowOff>28575</xdr:rowOff>
    </xdr:to>
    <xdr:sp>
      <xdr:nvSpPr>
        <xdr:cNvPr id="32" name="Line 738"/>
        <xdr:cNvSpPr>
          <a:spLocks/>
        </xdr:cNvSpPr>
      </xdr:nvSpPr>
      <xdr:spPr>
        <a:xfrm>
          <a:off x="8572500" y="8734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190500</xdr:rowOff>
    </xdr:from>
    <xdr:to>
      <xdr:col>27</xdr:col>
      <xdr:colOff>0</xdr:colOff>
      <xdr:row>45</xdr:row>
      <xdr:rowOff>28575</xdr:rowOff>
    </xdr:to>
    <xdr:sp>
      <xdr:nvSpPr>
        <xdr:cNvPr id="33" name="Line 739"/>
        <xdr:cNvSpPr>
          <a:spLocks/>
        </xdr:cNvSpPr>
      </xdr:nvSpPr>
      <xdr:spPr>
        <a:xfrm>
          <a:off x="8572500" y="8924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190500</xdr:rowOff>
    </xdr:from>
    <xdr:to>
      <xdr:col>27</xdr:col>
      <xdr:colOff>0</xdr:colOff>
      <xdr:row>46</xdr:row>
      <xdr:rowOff>28575</xdr:rowOff>
    </xdr:to>
    <xdr:sp>
      <xdr:nvSpPr>
        <xdr:cNvPr id="34" name="Line 740"/>
        <xdr:cNvSpPr>
          <a:spLocks/>
        </xdr:cNvSpPr>
      </xdr:nvSpPr>
      <xdr:spPr>
        <a:xfrm>
          <a:off x="8572500" y="9115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190500</xdr:rowOff>
    </xdr:from>
    <xdr:to>
      <xdr:col>27</xdr:col>
      <xdr:colOff>0</xdr:colOff>
      <xdr:row>47</xdr:row>
      <xdr:rowOff>28575</xdr:rowOff>
    </xdr:to>
    <xdr:sp>
      <xdr:nvSpPr>
        <xdr:cNvPr id="35" name="Line 741"/>
        <xdr:cNvSpPr>
          <a:spLocks/>
        </xdr:cNvSpPr>
      </xdr:nvSpPr>
      <xdr:spPr>
        <a:xfrm>
          <a:off x="8572500" y="9305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190500</xdr:rowOff>
    </xdr:from>
    <xdr:to>
      <xdr:col>27</xdr:col>
      <xdr:colOff>0</xdr:colOff>
      <xdr:row>48</xdr:row>
      <xdr:rowOff>28575</xdr:rowOff>
    </xdr:to>
    <xdr:sp>
      <xdr:nvSpPr>
        <xdr:cNvPr id="36" name="Line 742"/>
        <xdr:cNvSpPr>
          <a:spLocks/>
        </xdr:cNvSpPr>
      </xdr:nvSpPr>
      <xdr:spPr>
        <a:xfrm>
          <a:off x="8572500" y="9496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190500</xdr:rowOff>
    </xdr:from>
    <xdr:to>
      <xdr:col>27</xdr:col>
      <xdr:colOff>0</xdr:colOff>
      <xdr:row>49</xdr:row>
      <xdr:rowOff>28575</xdr:rowOff>
    </xdr:to>
    <xdr:sp>
      <xdr:nvSpPr>
        <xdr:cNvPr id="37" name="Line 743"/>
        <xdr:cNvSpPr>
          <a:spLocks/>
        </xdr:cNvSpPr>
      </xdr:nvSpPr>
      <xdr:spPr>
        <a:xfrm>
          <a:off x="8572500" y="9686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190500</xdr:rowOff>
    </xdr:from>
    <xdr:to>
      <xdr:col>27</xdr:col>
      <xdr:colOff>0</xdr:colOff>
      <xdr:row>50</xdr:row>
      <xdr:rowOff>28575</xdr:rowOff>
    </xdr:to>
    <xdr:sp>
      <xdr:nvSpPr>
        <xdr:cNvPr id="38" name="Line 744"/>
        <xdr:cNvSpPr>
          <a:spLocks/>
        </xdr:cNvSpPr>
      </xdr:nvSpPr>
      <xdr:spPr>
        <a:xfrm>
          <a:off x="8572500" y="9877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190500</xdr:rowOff>
    </xdr:from>
    <xdr:to>
      <xdr:col>27</xdr:col>
      <xdr:colOff>0</xdr:colOff>
      <xdr:row>51</xdr:row>
      <xdr:rowOff>28575</xdr:rowOff>
    </xdr:to>
    <xdr:sp>
      <xdr:nvSpPr>
        <xdr:cNvPr id="39" name="Line 745"/>
        <xdr:cNvSpPr>
          <a:spLocks/>
        </xdr:cNvSpPr>
      </xdr:nvSpPr>
      <xdr:spPr>
        <a:xfrm>
          <a:off x="8572500" y="10067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190500</xdr:rowOff>
    </xdr:from>
    <xdr:to>
      <xdr:col>27</xdr:col>
      <xdr:colOff>0</xdr:colOff>
      <xdr:row>52</xdr:row>
      <xdr:rowOff>28575</xdr:rowOff>
    </xdr:to>
    <xdr:sp>
      <xdr:nvSpPr>
        <xdr:cNvPr id="40" name="Line 746"/>
        <xdr:cNvSpPr>
          <a:spLocks/>
        </xdr:cNvSpPr>
      </xdr:nvSpPr>
      <xdr:spPr>
        <a:xfrm>
          <a:off x="8572500" y="10258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190500</xdr:rowOff>
    </xdr:from>
    <xdr:to>
      <xdr:col>27</xdr:col>
      <xdr:colOff>0</xdr:colOff>
      <xdr:row>53</xdr:row>
      <xdr:rowOff>28575</xdr:rowOff>
    </xdr:to>
    <xdr:sp>
      <xdr:nvSpPr>
        <xdr:cNvPr id="41" name="Line 747"/>
        <xdr:cNvSpPr>
          <a:spLocks/>
        </xdr:cNvSpPr>
      </xdr:nvSpPr>
      <xdr:spPr>
        <a:xfrm>
          <a:off x="8572500" y="10448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190500</xdr:rowOff>
    </xdr:from>
    <xdr:to>
      <xdr:col>27</xdr:col>
      <xdr:colOff>0</xdr:colOff>
      <xdr:row>54</xdr:row>
      <xdr:rowOff>28575</xdr:rowOff>
    </xdr:to>
    <xdr:sp>
      <xdr:nvSpPr>
        <xdr:cNvPr id="42" name="Line 748"/>
        <xdr:cNvSpPr>
          <a:spLocks/>
        </xdr:cNvSpPr>
      </xdr:nvSpPr>
      <xdr:spPr>
        <a:xfrm>
          <a:off x="8572500" y="10639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190500</xdr:rowOff>
    </xdr:from>
    <xdr:to>
      <xdr:col>27</xdr:col>
      <xdr:colOff>0</xdr:colOff>
      <xdr:row>55</xdr:row>
      <xdr:rowOff>28575</xdr:rowOff>
    </xdr:to>
    <xdr:sp>
      <xdr:nvSpPr>
        <xdr:cNvPr id="43" name="Line 749"/>
        <xdr:cNvSpPr>
          <a:spLocks/>
        </xdr:cNvSpPr>
      </xdr:nvSpPr>
      <xdr:spPr>
        <a:xfrm>
          <a:off x="8572500" y="10829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190500</xdr:rowOff>
    </xdr:from>
    <xdr:to>
      <xdr:col>27</xdr:col>
      <xdr:colOff>0</xdr:colOff>
      <xdr:row>56</xdr:row>
      <xdr:rowOff>28575</xdr:rowOff>
    </xdr:to>
    <xdr:sp>
      <xdr:nvSpPr>
        <xdr:cNvPr id="44" name="Line 750"/>
        <xdr:cNvSpPr>
          <a:spLocks/>
        </xdr:cNvSpPr>
      </xdr:nvSpPr>
      <xdr:spPr>
        <a:xfrm>
          <a:off x="8572500" y="11020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190500</xdr:rowOff>
    </xdr:from>
    <xdr:to>
      <xdr:col>27</xdr:col>
      <xdr:colOff>0</xdr:colOff>
      <xdr:row>57</xdr:row>
      <xdr:rowOff>28575</xdr:rowOff>
    </xdr:to>
    <xdr:sp>
      <xdr:nvSpPr>
        <xdr:cNvPr id="45" name="Line 751"/>
        <xdr:cNvSpPr>
          <a:spLocks/>
        </xdr:cNvSpPr>
      </xdr:nvSpPr>
      <xdr:spPr>
        <a:xfrm>
          <a:off x="8572500" y="11210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190500</xdr:rowOff>
    </xdr:from>
    <xdr:to>
      <xdr:col>27</xdr:col>
      <xdr:colOff>0</xdr:colOff>
      <xdr:row>58</xdr:row>
      <xdr:rowOff>28575</xdr:rowOff>
    </xdr:to>
    <xdr:sp>
      <xdr:nvSpPr>
        <xdr:cNvPr id="46" name="Line 752"/>
        <xdr:cNvSpPr>
          <a:spLocks/>
        </xdr:cNvSpPr>
      </xdr:nvSpPr>
      <xdr:spPr>
        <a:xfrm>
          <a:off x="8572500" y="1140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58</xdr:row>
      <xdr:rowOff>190500</xdr:rowOff>
    </xdr:from>
    <xdr:to>
      <xdr:col>27</xdr:col>
      <xdr:colOff>0</xdr:colOff>
      <xdr:row>59</xdr:row>
      <xdr:rowOff>28575</xdr:rowOff>
    </xdr:to>
    <xdr:sp>
      <xdr:nvSpPr>
        <xdr:cNvPr id="47" name="Line 753"/>
        <xdr:cNvSpPr>
          <a:spLocks/>
        </xdr:cNvSpPr>
      </xdr:nvSpPr>
      <xdr:spPr>
        <a:xfrm>
          <a:off x="8572500" y="11591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190500</xdr:rowOff>
    </xdr:from>
    <xdr:to>
      <xdr:col>27</xdr:col>
      <xdr:colOff>0</xdr:colOff>
      <xdr:row>60</xdr:row>
      <xdr:rowOff>28575</xdr:rowOff>
    </xdr:to>
    <xdr:sp>
      <xdr:nvSpPr>
        <xdr:cNvPr id="48" name="Line 754"/>
        <xdr:cNvSpPr>
          <a:spLocks/>
        </xdr:cNvSpPr>
      </xdr:nvSpPr>
      <xdr:spPr>
        <a:xfrm>
          <a:off x="8572500" y="11782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60</xdr:row>
      <xdr:rowOff>190500</xdr:rowOff>
    </xdr:from>
    <xdr:to>
      <xdr:col>27</xdr:col>
      <xdr:colOff>0</xdr:colOff>
      <xdr:row>61</xdr:row>
      <xdr:rowOff>28575</xdr:rowOff>
    </xdr:to>
    <xdr:sp>
      <xdr:nvSpPr>
        <xdr:cNvPr id="49" name="Line 755"/>
        <xdr:cNvSpPr>
          <a:spLocks/>
        </xdr:cNvSpPr>
      </xdr:nvSpPr>
      <xdr:spPr>
        <a:xfrm>
          <a:off x="8572500" y="11972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61</xdr:row>
      <xdr:rowOff>190500</xdr:rowOff>
    </xdr:from>
    <xdr:to>
      <xdr:col>27</xdr:col>
      <xdr:colOff>0</xdr:colOff>
      <xdr:row>62</xdr:row>
      <xdr:rowOff>28575</xdr:rowOff>
    </xdr:to>
    <xdr:sp>
      <xdr:nvSpPr>
        <xdr:cNvPr id="50" name="Line 756"/>
        <xdr:cNvSpPr>
          <a:spLocks/>
        </xdr:cNvSpPr>
      </xdr:nvSpPr>
      <xdr:spPr>
        <a:xfrm>
          <a:off x="8572500" y="12163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62</xdr:row>
      <xdr:rowOff>190500</xdr:rowOff>
    </xdr:from>
    <xdr:to>
      <xdr:col>27</xdr:col>
      <xdr:colOff>0</xdr:colOff>
      <xdr:row>63</xdr:row>
      <xdr:rowOff>28575</xdr:rowOff>
    </xdr:to>
    <xdr:sp>
      <xdr:nvSpPr>
        <xdr:cNvPr id="51" name="Line 757"/>
        <xdr:cNvSpPr>
          <a:spLocks/>
        </xdr:cNvSpPr>
      </xdr:nvSpPr>
      <xdr:spPr>
        <a:xfrm>
          <a:off x="8572500" y="12353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63</xdr:row>
      <xdr:rowOff>190500</xdr:rowOff>
    </xdr:from>
    <xdr:to>
      <xdr:col>27</xdr:col>
      <xdr:colOff>0</xdr:colOff>
      <xdr:row>64</xdr:row>
      <xdr:rowOff>28575</xdr:rowOff>
    </xdr:to>
    <xdr:sp>
      <xdr:nvSpPr>
        <xdr:cNvPr id="52" name="Line 758"/>
        <xdr:cNvSpPr>
          <a:spLocks/>
        </xdr:cNvSpPr>
      </xdr:nvSpPr>
      <xdr:spPr>
        <a:xfrm>
          <a:off x="8572500" y="12544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64</xdr:row>
      <xdr:rowOff>190500</xdr:rowOff>
    </xdr:from>
    <xdr:to>
      <xdr:col>27</xdr:col>
      <xdr:colOff>0</xdr:colOff>
      <xdr:row>65</xdr:row>
      <xdr:rowOff>28575</xdr:rowOff>
    </xdr:to>
    <xdr:sp>
      <xdr:nvSpPr>
        <xdr:cNvPr id="53" name="Line 759"/>
        <xdr:cNvSpPr>
          <a:spLocks/>
        </xdr:cNvSpPr>
      </xdr:nvSpPr>
      <xdr:spPr>
        <a:xfrm>
          <a:off x="8572500" y="12734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65</xdr:row>
      <xdr:rowOff>190500</xdr:rowOff>
    </xdr:from>
    <xdr:to>
      <xdr:col>27</xdr:col>
      <xdr:colOff>0</xdr:colOff>
      <xdr:row>66</xdr:row>
      <xdr:rowOff>28575</xdr:rowOff>
    </xdr:to>
    <xdr:sp>
      <xdr:nvSpPr>
        <xdr:cNvPr id="54" name="Line 760"/>
        <xdr:cNvSpPr>
          <a:spLocks/>
        </xdr:cNvSpPr>
      </xdr:nvSpPr>
      <xdr:spPr>
        <a:xfrm>
          <a:off x="8572500" y="12925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66</xdr:row>
      <xdr:rowOff>190500</xdr:rowOff>
    </xdr:from>
    <xdr:to>
      <xdr:col>27</xdr:col>
      <xdr:colOff>0</xdr:colOff>
      <xdr:row>67</xdr:row>
      <xdr:rowOff>28575</xdr:rowOff>
    </xdr:to>
    <xdr:sp>
      <xdr:nvSpPr>
        <xdr:cNvPr id="55" name="Line 761"/>
        <xdr:cNvSpPr>
          <a:spLocks/>
        </xdr:cNvSpPr>
      </xdr:nvSpPr>
      <xdr:spPr>
        <a:xfrm>
          <a:off x="8572500" y="13115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67</xdr:row>
      <xdr:rowOff>190500</xdr:rowOff>
    </xdr:from>
    <xdr:to>
      <xdr:col>27</xdr:col>
      <xdr:colOff>0</xdr:colOff>
      <xdr:row>68</xdr:row>
      <xdr:rowOff>28575</xdr:rowOff>
    </xdr:to>
    <xdr:sp>
      <xdr:nvSpPr>
        <xdr:cNvPr id="56" name="Line 762"/>
        <xdr:cNvSpPr>
          <a:spLocks/>
        </xdr:cNvSpPr>
      </xdr:nvSpPr>
      <xdr:spPr>
        <a:xfrm>
          <a:off x="8572500" y="13306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68</xdr:row>
      <xdr:rowOff>190500</xdr:rowOff>
    </xdr:from>
    <xdr:to>
      <xdr:col>27</xdr:col>
      <xdr:colOff>0</xdr:colOff>
      <xdr:row>69</xdr:row>
      <xdr:rowOff>28575</xdr:rowOff>
    </xdr:to>
    <xdr:sp>
      <xdr:nvSpPr>
        <xdr:cNvPr id="57" name="Line 763"/>
        <xdr:cNvSpPr>
          <a:spLocks/>
        </xdr:cNvSpPr>
      </xdr:nvSpPr>
      <xdr:spPr>
        <a:xfrm>
          <a:off x="8572500" y="13496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69</xdr:row>
      <xdr:rowOff>190500</xdr:rowOff>
    </xdr:from>
    <xdr:to>
      <xdr:col>27</xdr:col>
      <xdr:colOff>0</xdr:colOff>
      <xdr:row>70</xdr:row>
      <xdr:rowOff>28575</xdr:rowOff>
    </xdr:to>
    <xdr:sp>
      <xdr:nvSpPr>
        <xdr:cNvPr id="58" name="Line 764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200025</xdr:rowOff>
    </xdr:from>
    <xdr:to>
      <xdr:col>27</xdr:col>
      <xdr:colOff>0</xdr:colOff>
      <xdr:row>71</xdr:row>
      <xdr:rowOff>28575</xdr:rowOff>
    </xdr:to>
    <xdr:sp>
      <xdr:nvSpPr>
        <xdr:cNvPr id="59" name="Line 765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71</xdr:row>
      <xdr:rowOff>200025</xdr:rowOff>
    </xdr:from>
    <xdr:to>
      <xdr:col>27</xdr:col>
      <xdr:colOff>0</xdr:colOff>
      <xdr:row>72</xdr:row>
      <xdr:rowOff>28575</xdr:rowOff>
    </xdr:to>
    <xdr:sp>
      <xdr:nvSpPr>
        <xdr:cNvPr id="60" name="Line 766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72</xdr:row>
      <xdr:rowOff>200025</xdr:rowOff>
    </xdr:from>
    <xdr:to>
      <xdr:col>27</xdr:col>
      <xdr:colOff>0</xdr:colOff>
      <xdr:row>73</xdr:row>
      <xdr:rowOff>28575</xdr:rowOff>
    </xdr:to>
    <xdr:sp>
      <xdr:nvSpPr>
        <xdr:cNvPr id="61" name="Line 767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73</xdr:row>
      <xdr:rowOff>200025</xdr:rowOff>
    </xdr:from>
    <xdr:to>
      <xdr:col>27</xdr:col>
      <xdr:colOff>0</xdr:colOff>
      <xdr:row>74</xdr:row>
      <xdr:rowOff>28575</xdr:rowOff>
    </xdr:to>
    <xdr:sp>
      <xdr:nvSpPr>
        <xdr:cNvPr id="62" name="Line 768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74</xdr:row>
      <xdr:rowOff>200025</xdr:rowOff>
    </xdr:from>
    <xdr:to>
      <xdr:col>27</xdr:col>
      <xdr:colOff>0</xdr:colOff>
      <xdr:row>75</xdr:row>
      <xdr:rowOff>28575</xdr:rowOff>
    </xdr:to>
    <xdr:sp>
      <xdr:nvSpPr>
        <xdr:cNvPr id="63" name="Line 769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75</xdr:row>
      <xdr:rowOff>200025</xdr:rowOff>
    </xdr:from>
    <xdr:to>
      <xdr:col>27</xdr:col>
      <xdr:colOff>0</xdr:colOff>
      <xdr:row>76</xdr:row>
      <xdr:rowOff>28575</xdr:rowOff>
    </xdr:to>
    <xdr:sp>
      <xdr:nvSpPr>
        <xdr:cNvPr id="64" name="Line 770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76</xdr:row>
      <xdr:rowOff>200025</xdr:rowOff>
    </xdr:from>
    <xdr:to>
      <xdr:col>27</xdr:col>
      <xdr:colOff>0</xdr:colOff>
      <xdr:row>77</xdr:row>
      <xdr:rowOff>28575</xdr:rowOff>
    </xdr:to>
    <xdr:sp>
      <xdr:nvSpPr>
        <xdr:cNvPr id="65" name="Line 771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200025</xdr:rowOff>
    </xdr:from>
    <xdr:to>
      <xdr:col>27</xdr:col>
      <xdr:colOff>0</xdr:colOff>
      <xdr:row>78</xdr:row>
      <xdr:rowOff>28575</xdr:rowOff>
    </xdr:to>
    <xdr:sp>
      <xdr:nvSpPr>
        <xdr:cNvPr id="66" name="Line 772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78</xdr:row>
      <xdr:rowOff>200025</xdr:rowOff>
    </xdr:from>
    <xdr:to>
      <xdr:col>27</xdr:col>
      <xdr:colOff>0</xdr:colOff>
      <xdr:row>79</xdr:row>
      <xdr:rowOff>28575</xdr:rowOff>
    </xdr:to>
    <xdr:sp>
      <xdr:nvSpPr>
        <xdr:cNvPr id="67" name="Line 773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79</xdr:row>
      <xdr:rowOff>200025</xdr:rowOff>
    </xdr:from>
    <xdr:to>
      <xdr:col>27</xdr:col>
      <xdr:colOff>0</xdr:colOff>
      <xdr:row>80</xdr:row>
      <xdr:rowOff>28575</xdr:rowOff>
    </xdr:to>
    <xdr:sp>
      <xdr:nvSpPr>
        <xdr:cNvPr id="68" name="Line 774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80</xdr:row>
      <xdr:rowOff>200025</xdr:rowOff>
    </xdr:from>
    <xdr:to>
      <xdr:col>27</xdr:col>
      <xdr:colOff>0</xdr:colOff>
      <xdr:row>81</xdr:row>
      <xdr:rowOff>28575</xdr:rowOff>
    </xdr:to>
    <xdr:sp>
      <xdr:nvSpPr>
        <xdr:cNvPr id="69" name="Line 775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81</xdr:row>
      <xdr:rowOff>200025</xdr:rowOff>
    </xdr:from>
    <xdr:to>
      <xdr:col>27</xdr:col>
      <xdr:colOff>0</xdr:colOff>
      <xdr:row>82</xdr:row>
      <xdr:rowOff>28575</xdr:rowOff>
    </xdr:to>
    <xdr:sp>
      <xdr:nvSpPr>
        <xdr:cNvPr id="70" name="Line 776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200025</xdr:rowOff>
    </xdr:from>
    <xdr:to>
      <xdr:col>27</xdr:col>
      <xdr:colOff>0</xdr:colOff>
      <xdr:row>83</xdr:row>
      <xdr:rowOff>28575</xdr:rowOff>
    </xdr:to>
    <xdr:sp>
      <xdr:nvSpPr>
        <xdr:cNvPr id="71" name="Line 777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83</xdr:row>
      <xdr:rowOff>200025</xdr:rowOff>
    </xdr:from>
    <xdr:to>
      <xdr:col>27</xdr:col>
      <xdr:colOff>0</xdr:colOff>
      <xdr:row>84</xdr:row>
      <xdr:rowOff>28575</xdr:rowOff>
    </xdr:to>
    <xdr:sp>
      <xdr:nvSpPr>
        <xdr:cNvPr id="72" name="Line 778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84</xdr:row>
      <xdr:rowOff>200025</xdr:rowOff>
    </xdr:from>
    <xdr:to>
      <xdr:col>27</xdr:col>
      <xdr:colOff>0</xdr:colOff>
      <xdr:row>85</xdr:row>
      <xdr:rowOff>28575</xdr:rowOff>
    </xdr:to>
    <xdr:sp>
      <xdr:nvSpPr>
        <xdr:cNvPr id="73" name="Line 779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85</xdr:row>
      <xdr:rowOff>200025</xdr:rowOff>
    </xdr:from>
    <xdr:to>
      <xdr:col>27</xdr:col>
      <xdr:colOff>0</xdr:colOff>
      <xdr:row>86</xdr:row>
      <xdr:rowOff>28575</xdr:rowOff>
    </xdr:to>
    <xdr:sp>
      <xdr:nvSpPr>
        <xdr:cNvPr id="74" name="Line 780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86</xdr:row>
      <xdr:rowOff>200025</xdr:rowOff>
    </xdr:from>
    <xdr:to>
      <xdr:col>27</xdr:col>
      <xdr:colOff>0</xdr:colOff>
      <xdr:row>87</xdr:row>
      <xdr:rowOff>28575</xdr:rowOff>
    </xdr:to>
    <xdr:sp>
      <xdr:nvSpPr>
        <xdr:cNvPr id="75" name="Line 781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87</xdr:row>
      <xdr:rowOff>200025</xdr:rowOff>
    </xdr:from>
    <xdr:to>
      <xdr:col>27</xdr:col>
      <xdr:colOff>0</xdr:colOff>
      <xdr:row>88</xdr:row>
      <xdr:rowOff>28575</xdr:rowOff>
    </xdr:to>
    <xdr:sp>
      <xdr:nvSpPr>
        <xdr:cNvPr id="76" name="Line 782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88</xdr:row>
      <xdr:rowOff>200025</xdr:rowOff>
    </xdr:from>
    <xdr:to>
      <xdr:col>27</xdr:col>
      <xdr:colOff>0</xdr:colOff>
      <xdr:row>89</xdr:row>
      <xdr:rowOff>28575</xdr:rowOff>
    </xdr:to>
    <xdr:sp>
      <xdr:nvSpPr>
        <xdr:cNvPr id="77" name="Line 783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89</xdr:row>
      <xdr:rowOff>200025</xdr:rowOff>
    </xdr:from>
    <xdr:to>
      <xdr:col>27</xdr:col>
      <xdr:colOff>0</xdr:colOff>
      <xdr:row>90</xdr:row>
      <xdr:rowOff>28575</xdr:rowOff>
    </xdr:to>
    <xdr:sp>
      <xdr:nvSpPr>
        <xdr:cNvPr id="78" name="Line 784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90</xdr:row>
      <xdr:rowOff>200025</xdr:rowOff>
    </xdr:from>
    <xdr:to>
      <xdr:col>27</xdr:col>
      <xdr:colOff>0</xdr:colOff>
      <xdr:row>91</xdr:row>
      <xdr:rowOff>28575</xdr:rowOff>
    </xdr:to>
    <xdr:sp>
      <xdr:nvSpPr>
        <xdr:cNvPr id="79" name="Line 785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91</xdr:row>
      <xdr:rowOff>200025</xdr:rowOff>
    </xdr:from>
    <xdr:to>
      <xdr:col>27</xdr:col>
      <xdr:colOff>0</xdr:colOff>
      <xdr:row>92</xdr:row>
      <xdr:rowOff>28575</xdr:rowOff>
    </xdr:to>
    <xdr:sp>
      <xdr:nvSpPr>
        <xdr:cNvPr id="80" name="Line 786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92</xdr:row>
      <xdr:rowOff>200025</xdr:rowOff>
    </xdr:from>
    <xdr:to>
      <xdr:col>27</xdr:col>
      <xdr:colOff>0</xdr:colOff>
      <xdr:row>93</xdr:row>
      <xdr:rowOff>28575</xdr:rowOff>
    </xdr:to>
    <xdr:sp>
      <xdr:nvSpPr>
        <xdr:cNvPr id="81" name="Line 787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93</xdr:row>
      <xdr:rowOff>200025</xdr:rowOff>
    </xdr:from>
    <xdr:to>
      <xdr:col>27</xdr:col>
      <xdr:colOff>0</xdr:colOff>
      <xdr:row>94</xdr:row>
      <xdr:rowOff>28575</xdr:rowOff>
    </xdr:to>
    <xdr:sp>
      <xdr:nvSpPr>
        <xdr:cNvPr id="82" name="Line 788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94</xdr:row>
      <xdr:rowOff>200025</xdr:rowOff>
    </xdr:from>
    <xdr:to>
      <xdr:col>27</xdr:col>
      <xdr:colOff>0</xdr:colOff>
      <xdr:row>95</xdr:row>
      <xdr:rowOff>28575</xdr:rowOff>
    </xdr:to>
    <xdr:sp>
      <xdr:nvSpPr>
        <xdr:cNvPr id="83" name="Line 789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95</xdr:row>
      <xdr:rowOff>200025</xdr:rowOff>
    </xdr:from>
    <xdr:to>
      <xdr:col>27</xdr:col>
      <xdr:colOff>0</xdr:colOff>
      <xdr:row>96</xdr:row>
      <xdr:rowOff>28575</xdr:rowOff>
    </xdr:to>
    <xdr:sp>
      <xdr:nvSpPr>
        <xdr:cNvPr id="84" name="Line 790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96</xdr:row>
      <xdr:rowOff>200025</xdr:rowOff>
    </xdr:from>
    <xdr:to>
      <xdr:col>27</xdr:col>
      <xdr:colOff>0</xdr:colOff>
      <xdr:row>97</xdr:row>
      <xdr:rowOff>28575</xdr:rowOff>
    </xdr:to>
    <xdr:sp>
      <xdr:nvSpPr>
        <xdr:cNvPr id="85" name="Line 791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97</xdr:row>
      <xdr:rowOff>200025</xdr:rowOff>
    </xdr:from>
    <xdr:to>
      <xdr:col>27</xdr:col>
      <xdr:colOff>0</xdr:colOff>
      <xdr:row>98</xdr:row>
      <xdr:rowOff>28575</xdr:rowOff>
    </xdr:to>
    <xdr:sp>
      <xdr:nvSpPr>
        <xdr:cNvPr id="86" name="Line 792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98</xdr:row>
      <xdr:rowOff>200025</xdr:rowOff>
    </xdr:from>
    <xdr:to>
      <xdr:col>27</xdr:col>
      <xdr:colOff>0</xdr:colOff>
      <xdr:row>99</xdr:row>
      <xdr:rowOff>28575</xdr:rowOff>
    </xdr:to>
    <xdr:sp>
      <xdr:nvSpPr>
        <xdr:cNvPr id="87" name="Line 793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99</xdr:row>
      <xdr:rowOff>200025</xdr:rowOff>
    </xdr:from>
    <xdr:to>
      <xdr:col>27</xdr:col>
      <xdr:colOff>0</xdr:colOff>
      <xdr:row>100</xdr:row>
      <xdr:rowOff>28575</xdr:rowOff>
    </xdr:to>
    <xdr:sp>
      <xdr:nvSpPr>
        <xdr:cNvPr id="88" name="Line 794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100</xdr:row>
      <xdr:rowOff>200025</xdr:rowOff>
    </xdr:from>
    <xdr:to>
      <xdr:col>27</xdr:col>
      <xdr:colOff>0</xdr:colOff>
      <xdr:row>101</xdr:row>
      <xdr:rowOff>28575</xdr:rowOff>
    </xdr:to>
    <xdr:sp>
      <xdr:nvSpPr>
        <xdr:cNvPr id="89" name="Line 795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101</xdr:row>
      <xdr:rowOff>200025</xdr:rowOff>
    </xdr:from>
    <xdr:to>
      <xdr:col>27</xdr:col>
      <xdr:colOff>0</xdr:colOff>
      <xdr:row>102</xdr:row>
      <xdr:rowOff>28575</xdr:rowOff>
    </xdr:to>
    <xdr:sp>
      <xdr:nvSpPr>
        <xdr:cNvPr id="90" name="Line 796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102</xdr:row>
      <xdr:rowOff>200025</xdr:rowOff>
    </xdr:from>
    <xdr:to>
      <xdr:col>27</xdr:col>
      <xdr:colOff>0</xdr:colOff>
      <xdr:row>103</xdr:row>
      <xdr:rowOff>28575</xdr:rowOff>
    </xdr:to>
    <xdr:sp>
      <xdr:nvSpPr>
        <xdr:cNvPr id="91" name="Line 797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103</xdr:row>
      <xdr:rowOff>200025</xdr:rowOff>
    </xdr:from>
    <xdr:to>
      <xdr:col>27</xdr:col>
      <xdr:colOff>0</xdr:colOff>
      <xdr:row>104</xdr:row>
      <xdr:rowOff>28575</xdr:rowOff>
    </xdr:to>
    <xdr:sp>
      <xdr:nvSpPr>
        <xdr:cNvPr id="92" name="Line 798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104</xdr:row>
      <xdr:rowOff>200025</xdr:rowOff>
    </xdr:from>
    <xdr:to>
      <xdr:col>27</xdr:col>
      <xdr:colOff>0</xdr:colOff>
      <xdr:row>105</xdr:row>
      <xdr:rowOff>28575</xdr:rowOff>
    </xdr:to>
    <xdr:sp>
      <xdr:nvSpPr>
        <xdr:cNvPr id="93" name="Line 799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200025</xdr:rowOff>
    </xdr:from>
    <xdr:to>
      <xdr:col>27</xdr:col>
      <xdr:colOff>0</xdr:colOff>
      <xdr:row>106</xdr:row>
      <xdr:rowOff>28575</xdr:rowOff>
    </xdr:to>
    <xdr:sp>
      <xdr:nvSpPr>
        <xdr:cNvPr id="94" name="Line 800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200025</xdr:rowOff>
    </xdr:from>
    <xdr:to>
      <xdr:col>27</xdr:col>
      <xdr:colOff>0</xdr:colOff>
      <xdr:row>107</xdr:row>
      <xdr:rowOff>28575</xdr:rowOff>
    </xdr:to>
    <xdr:sp>
      <xdr:nvSpPr>
        <xdr:cNvPr id="95" name="Line 801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107</xdr:row>
      <xdr:rowOff>200025</xdr:rowOff>
    </xdr:from>
    <xdr:to>
      <xdr:col>27</xdr:col>
      <xdr:colOff>0</xdr:colOff>
      <xdr:row>108</xdr:row>
      <xdr:rowOff>28575</xdr:rowOff>
    </xdr:to>
    <xdr:sp>
      <xdr:nvSpPr>
        <xdr:cNvPr id="96" name="Line 802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108</xdr:row>
      <xdr:rowOff>200025</xdr:rowOff>
    </xdr:from>
    <xdr:to>
      <xdr:col>27</xdr:col>
      <xdr:colOff>0</xdr:colOff>
      <xdr:row>109</xdr:row>
      <xdr:rowOff>28575</xdr:rowOff>
    </xdr:to>
    <xdr:sp>
      <xdr:nvSpPr>
        <xdr:cNvPr id="97" name="Line 803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109</xdr:row>
      <xdr:rowOff>200025</xdr:rowOff>
    </xdr:from>
    <xdr:to>
      <xdr:col>27</xdr:col>
      <xdr:colOff>0</xdr:colOff>
      <xdr:row>110</xdr:row>
      <xdr:rowOff>28575</xdr:rowOff>
    </xdr:to>
    <xdr:sp>
      <xdr:nvSpPr>
        <xdr:cNvPr id="98" name="Line 804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200025</xdr:rowOff>
    </xdr:from>
    <xdr:to>
      <xdr:col>27</xdr:col>
      <xdr:colOff>0</xdr:colOff>
      <xdr:row>111</xdr:row>
      <xdr:rowOff>28575</xdr:rowOff>
    </xdr:to>
    <xdr:sp>
      <xdr:nvSpPr>
        <xdr:cNvPr id="99" name="Line 805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200025</xdr:rowOff>
    </xdr:from>
    <xdr:to>
      <xdr:col>27</xdr:col>
      <xdr:colOff>0</xdr:colOff>
      <xdr:row>112</xdr:row>
      <xdr:rowOff>28575</xdr:rowOff>
    </xdr:to>
    <xdr:sp>
      <xdr:nvSpPr>
        <xdr:cNvPr id="100" name="Line 806"/>
        <xdr:cNvSpPr>
          <a:spLocks/>
        </xdr:cNvSpPr>
      </xdr:nvSpPr>
      <xdr:spPr>
        <a:xfrm>
          <a:off x="85725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114300</xdr:colOff>
      <xdr:row>1</xdr:row>
      <xdr:rowOff>133350</xdr:rowOff>
    </xdr:from>
    <xdr:to>
      <xdr:col>59</xdr:col>
      <xdr:colOff>304800</xdr:colOff>
      <xdr:row>9</xdr:row>
      <xdr:rowOff>47625</xdr:rowOff>
    </xdr:to>
    <xdr:sp>
      <xdr:nvSpPr>
        <xdr:cNvPr id="101" name="Rectangle 830"/>
        <xdr:cNvSpPr>
          <a:spLocks/>
        </xdr:cNvSpPr>
      </xdr:nvSpPr>
      <xdr:spPr>
        <a:xfrm>
          <a:off x="11391900" y="504825"/>
          <a:ext cx="5810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Ｎ代</a:t>
          </a:r>
          <a:r>
            <a:rPr lang="en-US" cap="none" sz="1200" b="0" i="0" u="none" baseline="0">
              <a:solidFill>
                <a:srgbClr val="FFFF00"/>
              </a:solidFill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</a:rPr>
            <a:t>公文</a:t>
          </a:r>
        </a:p>
      </xdr:txBody>
    </xdr:sp>
    <xdr:clientData/>
  </xdr:twoCellAnchor>
  <xdr:twoCellAnchor editAs="oneCell">
    <xdr:from>
      <xdr:col>55</xdr:col>
      <xdr:colOff>361950</xdr:colOff>
      <xdr:row>7</xdr:row>
      <xdr:rowOff>57150</xdr:rowOff>
    </xdr:from>
    <xdr:to>
      <xdr:col>64</xdr:col>
      <xdr:colOff>28575</xdr:colOff>
      <xdr:row>19</xdr:row>
      <xdr:rowOff>66675</xdr:rowOff>
    </xdr:to>
    <xdr:pic>
      <xdr:nvPicPr>
        <xdr:cNvPr id="102" name="Picture 831" descr="0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181100"/>
          <a:ext cx="3181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323850</xdr:colOff>
      <xdr:row>0</xdr:row>
      <xdr:rowOff>76200</xdr:rowOff>
    </xdr:from>
    <xdr:to>
      <xdr:col>29</xdr:col>
      <xdr:colOff>9525</xdr:colOff>
      <xdr:row>2</xdr:row>
      <xdr:rowOff>9525</xdr:rowOff>
    </xdr:to>
    <xdr:pic macro="[0]!Macro1">
      <xdr:nvPicPr>
        <xdr:cNvPr id="103" name="Picture 847" descr="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96350" y="76200"/>
          <a:ext cx="1000125" cy="485775"/>
        </a:xfrm>
        <a:prstGeom prst="rect">
          <a:avLst/>
        </a:prstGeom>
        <a:noFill/>
        <a:ln w="19050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24</xdr:col>
      <xdr:colOff>304800</xdr:colOff>
      <xdr:row>4</xdr:row>
      <xdr:rowOff>9525</xdr:rowOff>
    </xdr:from>
    <xdr:to>
      <xdr:col>25</xdr:col>
      <xdr:colOff>952500</xdr:colOff>
      <xdr:row>7</xdr:row>
      <xdr:rowOff>133350</xdr:rowOff>
    </xdr:to>
    <xdr:pic>
      <xdr:nvPicPr>
        <xdr:cNvPr id="104" name="圖片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628650"/>
          <a:ext cx="1895475" cy="62865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25</xdr:col>
      <xdr:colOff>809625</xdr:colOff>
      <xdr:row>0</xdr:row>
      <xdr:rowOff>85725</xdr:rowOff>
    </xdr:from>
    <xdr:to>
      <xdr:col>26</xdr:col>
      <xdr:colOff>9525</xdr:colOff>
      <xdr:row>3</xdr:row>
      <xdr:rowOff>0</xdr:rowOff>
    </xdr:to>
    <xdr:pic>
      <xdr:nvPicPr>
        <xdr:cNvPr id="105" name="圖片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8572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0</xdr:row>
      <xdr:rowOff>85725</xdr:rowOff>
    </xdr:from>
    <xdr:to>
      <xdr:col>27</xdr:col>
      <xdr:colOff>266700</xdr:colOff>
      <xdr:row>3</xdr:row>
      <xdr:rowOff>0</xdr:rowOff>
    </xdr:to>
    <xdr:pic>
      <xdr:nvPicPr>
        <xdr:cNvPr id="106" name="圖片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8572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30</xdr:row>
      <xdr:rowOff>28575</xdr:rowOff>
    </xdr:from>
    <xdr:to>
      <xdr:col>21</xdr:col>
      <xdr:colOff>361950</xdr:colOff>
      <xdr:row>30</xdr:row>
      <xdr:rowOff>161925</xdr:rowOff>
    </xdr:to>
    <xdr:sp>
      <xdr:nvSpPr>
        <xdr:cNvPr id="107" name="矩形 2"/>
        <xdr:cNvSpPr>
          <a:spLocks/>
        </xdr:cNvSpPr>
      </xdr:nvSpPr>
      <xdr:spPr>
        <a:xfrm>
          <a:off x="3543300" y="609600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  <xdr:twoCellAnchor>
    <xdr:from>
      <xdr:col>21</xdr:col>
      <xdr:colOff>57150</xdr:colOff>
      <xdr:row>31</xdr:row>
      <xdr:rowOff>28575</xdr:rowOff>
    </xdr:from>
    <xdr:to>
      <xdr:col>21</xdr:col>
      <xdr:colOff>361950</xdr:colOff>
      <xdr:row>31</xdr:row>
      <xdr:rowOff>161925</xdr:rowOff>
    </xdr:to>
    <xdr:sp>
      <xdr:nvSpPr>
        <xdr:cNvPr id="108" name="矩形 110"/>
        <xdr:cNvSpPr>
          <a:spLocks/>
        </xdr:cNvSpPr>
      </xdr:nvSpPr>
      <xdr:spPr>
        <a:xfrm>
          <a:off x="3543300" y="628650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  <xdr:twoCellAnchor>
    <xdr:from>
      <xdr:col>21</xdr:col>
      <xdr:colOff>57150</xdr:colOff>
      <xdr:row>32</xdr:row>
      <xdr:rowOff>28575</xdr:rowOff>
    </xdr:from>
    <xdr:to>
      <xdr:col>21</xdr:col>
      <xdr:colOff>361950</xdr:colOff>
      <xdr:row>32</xdr:row>
      <xdr:rowOff>161925</xdr:rowOff>
    </xdr:to>
    <xdr:sp>
      <xdr:nvSpPr>
        <xdr:cNvPr id="109" name="矩形 111"/>
        <xdr:cNvSpPr>
          <a:spLocks/>
        </xdr:cNvSpPr>
      </xdr:nvSpPr>
      <xdr:spPr>
        <a:xfrm>
          <a:off x="3543300" y="647700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57150</xdr:colOff>
      <xdr:row>33</xdr:row>
      <xdr:rowOff>19050</xdr:rowOff>
    </xdr:from>
    <xdr:to>
      <xdr:col>21</xdr:col>
      <xdr:colOff>361950</xdr:colOff>
      <xdr:row>33</xdr:row>
      <xdr:rowOff>152400</xdr:rowOff>
    </xdr:to>
    <xdr:sp>
      <xdr:nvSpPr>
        <xdr:cNvPr id="110" name="矩形 112"/>
        <xdr:cNvSpPr>
          <a:spLocks/>
        </xdr:cNvSpPr>
      </xdr:nvSpPr>
      <xdr:spPr>
        <a:xfrm>
          <a:off x="3543300" y="6657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57150</xdr:colOff>
      <xdr:row>34</xdr:row>
      <xdr:rowOff>19050</xdr:rowOff>
    </xdr:from>
    <xdr:to>
      <xdr:col>21</xdr:col>
      <xdr:colOff>361950</xdr:colOff>
      <xdr:row>34</xdr:row>
      <xdr:rowOff>152400</xdr:rowOff>
    </xdr:to>
    <xdr:sp>
      <xdr:nvSpPr>
        <xdr:cNvPr id="111" name="矩形 113"/>
        <xdr:cNvSpPr>
          <a:spLocks/>
        </xdr:cNvSpPr>
      </xdr:nvSpPr>
      <xdr:spPr>
        <a:xfrm>
          <a:off x="3543300" y="6848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57150</xdr:colOff>
      <xdr:row>35</xdr:row>
      <xdr:rowOff>19050</xdr:rowOff>
    </xdr:from>
    <xdr:to>
      <xdr:col>21</xdr:col>
      <xdr:colOff>361950</xdr:colOff>
      <xdr:row>35</xdr:row>
      <xdr:rowOff>152400</xdr:rowOff>
    </xdr:to>
    <xdr:sp>
      <xdr:nvSpPr>
        <xdr:cNvPr id="112" name="矩形 114"/>
        <xdr:cNvSpPr>
          <a:spLocks/>
        </xdr:cNvSpPr>
      </xdr:nvSpPr>
      <xdr:spPr>
        <a:xfrm>
          <a:off x="3543300" y="7038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57150</xdr:colOff>
      <xdr:row>36</xdr:row>
      <xdr:rowOff>19050</xdr:rowOff>
    </xdr:from>
    <xdr:to>
      <xdr:col>21</xdr:col>
      <xdr:colOff>361950</xdr:colOff>
      <xdr:row>36</xdr:row>
      <xdr:rowOff>152400</xdr:rowOff>
    </xdr:to>
    <xdr:sp>
      <xdr:nvSpPr>
        <xdr:cNvPr id="113" name="矩形 115"/>
        <xdr:cNvSpPr>
          <a:spLocks/>
        </xdr:cNvSpPr>
      </xdr:nvSpPr>
      <xdr:spPr>
        <a:xfrm>
          <a:off x="3543300" y="7229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37</xdr:row>
      <xdr:rowOff>19050</xdr:rowOff>
    </xdr:from>
    <xdr:to>
      <xdr:col>21</xdr:col>
      <xdr:colOff>371475</xdr:colOff>
      <xdr:row>37</xdr:row>
      <xdr:rowOff>152400</xdr:rowOff>
    </xdr:to>
    <xdr:sp>
      <xdr:nvSpPr>
        <xdr:cNvPr id="114" name="矩形 116"/>
        <xdr:cNvSpPr>
          <a:spLocks/>
        </xdr:cNvSpPr>
      </xdr:nvSpPr>
      <xdr:spPr>
        <a:xfrm>
          <a:off x="3552825" y="7419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38</xdr:row>
      <xdr:rowOff>19050</xdr:rowOff>
    </xdr:from>
    <xdr:to>
      <xdr:col>21</xdr:col>
      <xdr:colOff>371475</xdr:colOff>
      <xdr:row>38</xdr:row>
      <xdr:rowOff>152400</xdr:rowOff>
    </xdr:to>
    <xdr:sp>
      <xdr:nvSpPr>
        <xdr:cNvPr id="115" name="矩形 117"/>
        <xdr:cNvSpPr>
          <a:spLocks/>
        </xdr:cNvSpPr>
      </xdr:nvSpPr>
      <xdr:spPr>
        <a:xfrm>
          <a:off x="3552825" y="7610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57150</xdr:colOff>
      <xdr:row>39</xdr:row>
      <xdr:rowOff>19050</xdr:rowOff>
    </xdr:from>
    <xdr:to>
      <xdr:col>21</xdr:col>
      <xdr:colOff>361950</xdr:colOff>
      <xdr:row>39</xdr:row>
      <xdr:rowOff>152400</xdr:rowOff>
    </xdr:to>
    <xdr:sp>
      <xdr:nvSpPr>
        <xdr:cNvPr id="116" name="矩形 118"/>
        <xdr:cNvSpPr>
          <a:spLocks/>
        </xdr:cNvSpPr>
      </xdr:nvSpPr>
      <xdr:spPr>
        <a:xfrm>
          <a:off x="3543300" y="7800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57150</xdr:colOff>
      <xdr:row>40</xdr:row>
      <xdr:rowOff>19050</xdr:rowOff>
    </xdr:from>
    <xdr:to>
      <xdr:col>21</xdr:col>
      <xdr:colOff>361950</xdr:colOff>
      <xdr:row>40</xdr:row>
      <xdr:rowOff>152400</xdr:rowOff>
    </xdr:to>
    <xdr:sp>
      <xdr:nvSpPr>
        <xdr:cNvPr id="117" name="矩形 119"/>
        <xdr:cNvSpPr>
          <a:spLocks/>
        </xdr:cNvSpPr>
      </xdr:nvSpPr>
      <xdr:spPr>
        <a:xfrm>
          <a:off x="3543300" y="7991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41</xdr:row>
      <xdr:rowOff>28575</xdr:rowOff>
    </xdr:from>
    <xdr:to>
      <xdr:col>21</xdr:col>
      <xdr:colOff>371475</xdr:colOff>
      <xdr:row>41</xdr:row>
      <xdr:rowOff>161925</xdr:rowOff>
    </xdr:to>
    <xdr:sp>
      <xdr:nvSpPr>
        <xdr:cNvPr id="118" name="矩形 120"/>
        <xdr:cNvSpPr>
          <a:spLocks/>
        </xdr:cNvSpPr>
      </xdr:nvSpPr>
      <xdr:spPr>
        <a:xfrm>
          <a:off x="3552825" y="819150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42</xdr:row>
      <xdr:rowOff>19050</xdr:rowOff>
    </xdr:from>
    <xdr:to>
      <xdr:col>21</xdr:col>
      <xdr:colOff>371475</xdr:colOff>
      <xdr:row>42</xdr:row>
      <xdr:rowOff>152400</xdr:rowOff>
    </xdr:to>
    <xdr:sp>
      <xdr:nvSpPr>
        <xdr:cNvPr id="119" name="矩形 121"/>
        <xdr:cNvSpPr>
          <a:spLocks/>
        </xdr:cNvSpPr>
      </xdr:nvSpPr>
      <xdr:spPr>
        <a:xfrm>
          <a:off x="3552825" y="8372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43</xdr:row>
      <xdr:rowOff>19050</xdr:rowOff>
    </xdr:from>
    <xdr:to>
      <xdr:col>21</xdr:col>
      <xdr:colOff>371475</xdr:colOff>
      <xdr:row>43</xdr:row>
      <xdr:rowOff>152400</xdr:rowOff>
    </xdr:to>
    <xdr:sp>
      <xdr:nvSpPr>
        <xdr:cNvPr id="120" name="矩形 122"/>
        <xdr:cNvSpPr>
          <a:spLocks/>
        </xdr:cNvSpPr>
      </xdr:nvSpPr>
      <xdr:spPr>
        <a:xfrm>
          <a:off x="3552825" y="8562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44</xdr:row>
      <xdr:rowOff>19050</xdr:rowOff>
    </xdr:from>
    <xdr:to>
      <xdr:col>21</xdr:col>
      <xdr:colOff>371475</xdr:colOff>
      <xdr:row>44</xdr:row>
      <xdr:rowOff>152400</xdr:rowOff>
    </xdr:to>
    <xdr:sp>
      <xdr:nvSpPr>
        <xdr:cNvPr id="121" name="矩形 123"/>
        <xdr:cNvSpPr>
          <a:spLocks/>
        </xdr:cNvSpPr>
      </xdr:nvSpPr>
      <xdr:spPr>
        <a:xfrm>
          <a:off x="3552825" y="8753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45</xdr:row>
      <xdr:rowOff>19050</xdr:rowOff>
    </xdr:from>
    <xdr:to>
      <xdr:col>21</xdr:col>
      <xdr:colOff>371475</xdr:colOff>
      <xdr:row>45</xdr:row>
      <xdr:rowOff>152400</xdr:rowOff>
    </xdr:to>
    <xdr:sp>
      <xdr:nvSpPr>
        <xdr:cNvPr id="122" name="矩形 124"/>
        <xdr:cNvSpPr>
          <a:spLocks/>
        </xdr:cNvSpPr>
      </xdr:nvSpPr>
      <xdr:spPr>
        <a:xfrm>
          <a:off x="3552825" y="8943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46</xdr:row>
      <xdr:rowOff>19050</xdr:rowOff>
    </xdr:from>
    <xdr:to>
      <xdr:col>21</xdr:col>
      <xdr:colOff>371475</xdr:colOff>
      <xdr:row>46</xdr:row>
      <xdr:rowOff>152400</xdr:rowOff>
    </xdr:to>
    <xdr:sp>
      <xdr:nvSpPr>
        <xdr:cNvPr id="123" name="矩形 125"/>
        <xdr:cNvSpPr>
          <a:spLocks/>
        </xdr:cNvSpPr>
      </xdr:nvSpPr>
      <xdr:spPr>
        <a:xfrm>
          <a:off x="3552825" y="9134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47</xdr:row>
      <xdr:rowOff>28575</xdr:rowOff>
    </xdr:from>
    <xdr:to>
      <xdr:col>21</xdr:col>
      <xdr:colOff>371475</xdr:colOff>
      <xdr:row>47</xdr:row>
      <xdr:rowOff>161925</xdr:rowOff>
    </xdr:to>
    <xdr:sp>
      <xdr:nvSpPr>
        <xdr:cNvPr id="124" name="矩形 126"/>
        <xdr:cNvSpPr>
          <a:spLocks/>
        </xdr:cNvSpPr>
      </xdr:nvSpPr>
      <xdr:spPr>
        <a:xfrm>
          <a:off x="3552825" y="933450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48</xdr:row>
      <xdr:rowOff>19050</xdr:rowOff>
    </xdr:from>
    <xdr:to>
      <xdr:col>21</xdr:col>
      <xdr:colOff>371475</xdr:colOff>
      <xdr:row>48</xdr:row>
      <xdr:rowOff>152400</xdr:rowOff>
    </xdr:to>
    <xdr:sp>
      <xdr:nvSpPr>
        <xdr:cNvPr id="125" name="矩形 127"/>
        <xdr:cNvSpPr>
          <a:spLocks/>
        </xdr:cNvSpPr>
      </xdr:nvSpPr>
      <xdr:spPr>
        <a:xfrm>
          <a:off x="3552825" y="9515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49</xdr:row>
      <xdr:rowOff>19050</xdr:rowOff>
    </xdr:from>
    <xdr:to>
      <xdr:col>21</xdr:col>
      <xdr:colOff>371475</xdr:colOff>
      <xdr:row>49</xdr:row>
      <xdr:rowOff>152400</xdr:rowOff>
    </xdr:to>
    <xdr:sp>
      <xdr:nvSpPr>
        <xdr:cNvPr id="126" name="矩形 128"/>
        <xdr:cNvSpPr>
          <a:spLocks/>
        </xdr:cNvSpPr>
      </xdr:nvSpPr>
      <xdr:spPr>
        <a:xfrm>
          <a:off x="3552825" y="9705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50</xdr:row>
      <xdr:rowOff>19050</xdr:rowOff>
    </xdr:from>
    <xdr:to>
      <xdr:col>21</xdr:col>
      <xdr:colOff>371475</xdr:colOff>
      <xdr:row>50</xdr:row>
      <xdr:rowOff>152400</xdr:rowOff>
    </xdr:to>
    <xdr:sp>
      <xdr:nvSpPr>
        <xdr:cNvPr id="127" name="矩形 129"/>
        <xdr:cNvSpPr>
          <a:spLocks/>
        </xdr:cNvSpPr>
      </xdr:nvSpPr>
      <xdr:spPr>
        <a:xfrm>
          <a:off x="3552825" y="9896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51</xdr:row>
      <xdr:rowOff>19050</xdr:rowOff>
    </xdr:from>
    <xdr:to>
      <xdr:col>21</xdr:col>
      <xdr:colOff>371475</xdr:colOff>
      <xdr:row>51</xdr:row>
      <xdr:rowOff>152400</xdr:rowOff>
    </xdr:to>
    <xdr:sp>
      <xdr:nvSpPr>
        <xdr:cNvPr id="128" name="矩形 130"/>
        <xdr:cNvSpPr>
          <a:spLocks/>
        </xdr:cNvSpPr>
      </xdr:nvSpPr>
      <xdr:spPr>
        <a:xfrm>
          <a:off x="3552825" y="10086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52</xdr:row>
      <xdr:rowOff>19050</xdr:rowOff>
    </xdr:from>
    <xdr:to>
      <xdr:col>21</xdr:col>
      <xdr:colOff>371475</xdr:colOff>
      <xdr:row>52</xdr:row>
      <xdr:rowOff>152400</xdr:rowOff>
    </xdr:to>
    <xdr:sp>
      <xdr:nvSpPr>
        <xdr:cNvPr id="129" name="矩形 131"/>
        <xdr:cNvSpPr>
          <a:spLocks/>
        </xdr:cNvSpPr>
      </xdr:nvSpPr>
      <xdr:spPr>
        <a:xfrm>
          <a:off x="3552825" y="10277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53</xdr:row>
      <xdr:rowOff>19050</xdr:rowOff>
    </xdr:from>
    <xdr:to>
      <xdr:col>21</xdr:col>
      <xdr:colOff>371475</xdr:colOff>
      <xdr:row>53</xdr:row>
      <xdr:rowOff>152400</xdr:rowOff>
    </xdr:to>
    <xdr:sp>
      <xdr:nvSpPr>
        <xdr:cNvPr id="130" name="矩形 132"/>
        <xdr:cNvSpPr>
          <a:spLocks/>
        </xdr:cNvSpPr>
      </xdr:nvSpPr>
      <xdr:spPr>
        <a:xfrm>
          <a:off x="3552825" y="10467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54</xdr:row>
      <xdr:rowOff>19050</xdr:rowOff>
    </xdr:from>
    <xdr:to>
      <xdr:col>21</xdr:col>
      <xdr:colOff>371475</xdr:colOff>
      <xdr:row>54</xdr:row>
      <xdr:rowOff>152400</xdr:rowOff>
    </xdr:to>
    <xdr:sp>
      <xdr:nvSpPr>
        <xdr:cNvPr id="131" name="矩形 133"/>
        <xdr:cNvSpPr>
          <a:spLocks/>
        </xdr:cNvSpPr>
      </xdr:nvSpPr>
      <xdr:spPr>
        <a:xfrm>
          <a:off x="3552825" y="10658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55</xdr:row>
      <xdr:rowOff>9525</xdr:rowOff>
    </xdr:from>
    <xdr:to>
      <xdr:col>21</xdr:col>
      <xdr:colOff>371475</xdr:colOff>
      <xdr:row>55</xdr:row>
      <xdr:rowOff>142875</xdr:rowOff>
    </xdr:to>
    <xdr:sp>
      <xdr:nvSpPr>
        <xdr:cNvPr id="132" name="矩形 134"/>
        <xdr:cNvSpPr>
          <a:spLocks/>
        </xdr:cNvSpPr>
      </xdr:nvSpPr>
      <xdr:spPr>
        <a:xfrm>
          <a:off x="3552825" y="108394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56</xdr:row>
      <xdr:rowOff>9525</xdr:rowOff>
    </xdr:from>
    <xdr:to>
      <xdr:col>21</xdr:col>
      <xdr:colOff>371475</xdr:colOff>
      <xdr:row>56</xdr:row>
      <xdr:rowOff>142875</xdr:rowOff>
    </xdr:to>
    <xdr:sp>
      <xdr:nvSpPr>
        <xdr:cNvPr id="133" name="矩形 135"/>
        <xdr:cNvSpPr>
          <a:spLocks/>
        </xdr:cNvSpPr>
      </xdr:nvSpPr>
      <xdr:spPr>
        <a:xfrm>
          <a:off x="3552825" y="110299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57</xdr:row>
      <xdr:rowOff>9525</xdr:rowOff>
    </xdr:from>
    <xdr:to>
      <xdr:col>21</xdr:col>
      <xdr:colOff>371475</xdr:colOff>
      <xdr:row>57</xdr:row>
      <xdr:rowOff>142875</xdr:rowOff>
    </xdr:to>
    <xdr:sp>
      <xdr:nvSpPr>
        <xdr:cNvPr id="134" name="矩形 136"/>
        <xdr:cNvSpPr>
          <a:spLocks/>
        </xdr:cNvSpPr>
      </xdr:nvSpPr>
      <xdr:spPr>
        <a:xfrm>
          <a:off x="3552825" y="112204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58</xdr:row>
      <xdr:rowOff>9525</xdr:rowOff>
    </xdr:from>
    <xdr:to>
      <xdr:col>21</xdr:col>
      <xdr:colOff>371475</xdr:colOff>
      <xdr:row>58</xdr:row>
      <xdr:rowOff>142875</xdr:rowOff>
    </xdr:to>
    <xdr:sp>
      <xdr:nvSpPr>
        <xdr:cNvPr id="135" name="矩形 137"/>
        <xdr:cNvSpPr>
          <a:spLocks/>
        </xdr:cNvSpPr>
      </xdr:nvSpPr>
      <xdr:spPr>
        <a:xfrm>
          <a:off x="3552825" y="114109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59</xdr:row>
      <xdr:rowOff>9525</xdr:rowOff>
    </xdr:from>
    <xdr:to>
      <xdr:col>21</xdr:col>
      <xdr:colOff>371475</xdr:colOff>
      <xdr:row>59</xdr:row>
      <xdr:rowOff>142875</xdr:rowOff>
    </xdr:to>
    <xdr:sp>
      <xdr:nvSpPr>
        <xdr:cNvPr id="136" name="矩形 138"/>
        <xdr:cNvSpPr>
          <a:spLocks/>
        </xdr:cNvSpPr>
      </xdr:nvSpPr>
      <xdr:spPr>
        <a:xfrm>
          <a:off x="3552825" y="116014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60</xdr:row>
      <xdr:rowOff>9525</xdr:rowOff>
    </xdr:from>
    <xdr:to>
      <xdr:col>21</xdr:col>
      <xdr:colOff>371475</xdr:colOff>
      <xdr:row>60</xdr:row>
      <xdr:rowOff>142875</xdr:rowOff>
    </xdr:to>
    <xdr:sp>
      <xdr:nvSpPr>
        <xdr:cNvPr id="137" name="矩形 139"/>
        <xdr:cNvSpPr>
          <a:spLocks/>
        </xdr:cNvSpPr>
      </xdr:nvSpPr>
      <xdr:spPr>
        <a:xfrm>
          <a:off x="3552825" y="117919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61</xdr:row>
      <xdr:rowOff>19050</xdr:rowOff>
    </xdr:from>
    <xdr:to>
      <xdr:col>21</xdr:col>
      <xdr:colOff>371475</xdr:colOff>
      <xdr:row>61</xdr:row>
      <xdr:rowOff>152400</xdr:rowOff>
    </xdr:to>
    <xdr:sp>
      <xdr:nvSpPr>
        <xdr:cNvPr id="138" name="矩形 140"/>
        <xdr:cNvSpPr>
          <a:spLocks/>
        </xdr:cNvSpPr>
      </xdr:nvSpPr>
      <xdr:spPr>
        <a:xfrm>
          <a:off x="3552825" y="11991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62</xdr:row>
      <xdr:rowOff>9525</xdr:rowOff>
    </xdr:from>
    <xdr:to>
      <xdr:col>21</xdr:col>
      <xdr:colOff>371475</xdr:colOff>
      <xdr:row>62</xdr:row>
      <xdr:rowOff>142875</xdr:rowOff>
    </xdr:to>
    <xdr:sp>
      <xdr:nvSpPr>
        <xdr:cNvPr id="139" name="矩形 141"/>
        <xdr:cNvSpPr>
          <a:spLocks/>
        </xdr:cNvSpPr>
      </xdr:nvSpPr>
      <xdr:spPr>
        <a:xfrm>
          <a:off x="3552825" y="121729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63</xdr:row>
      <xdr:rowOff>9525</xdr:rowOff>
    </xdr:from>
    <xdr:to>
      <xdr:col>21</xdr:col>
      <xdr:colOff>371475</xdr:colOff>
      <xdr:row>63</xdr:row>
      <xdr:rowOff>142875</xdr:rowOff>
    </xdr:to>
    <xdr:sp>
      <xdr:nvSpPr>
        <xdr:cNvPr id="140" name="矩形 142"/>
        <xdr:cNvSpPr>
          <a:spLocks/>
        </xdr:cNvSpPr>
      </xdr:nvSpPr>
      <xdr:spPr>
        <a:xfrm>
          <a:off x="3552825" y="123634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64</xdr:row>
      <xdr:rowOff>9525</xdr:rowOff>
    </xdr:from>
    <xdr:to>
      <xdr:col>21</xdr:col>
      <xdr:colOff>371475</xdr:colOff>
      <xdr:row>64</xdr:row>
      <xdr:rowOff>142875</xdr:rowOff>
    </xdr:to>
    <xdr:sp>
      <xdr:nvSpPr>
        <xdr:cNvPr id="141" name="矩形 143"/>
        <xdr:cNvSpPr>
          <a:spLocks/>
        </xdr:cNvSpPr>
      </xdr:nvSpPr>
      <xdr:spPr>
        <a:xfrm>
          <a:off x="3552825" y="125539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65</xdr:row>
      <xdr:rowOff>9525</xdr:rowOff>
    </xdr:from>
    <xdr:to>
      <xdr:col>21</xdr:col>
      <xdr:colOff>371475</xdr:colOff>
      <xdr:row>65</xdr:row>
      <xdr:rowOff>142875</xdr:rowOff>
    </xdr:to>
    <xdr:sp>
      <xdr:nvSpPr>
        <xdr:cNvPr id="142" name="矩形 144"/>
        <xdr:cNvSpPr>
          <a:spLocks/>
        </xdr:cNvSpPr>
      </xdr:nvSpPr>
      <xdr:spPr>
        <a:xfrm>
          <a:off x="3552825" y="127444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66</xdr:row>
      <xdr:rowOff>9525</xdr:rowOff>
    </xdr:from>
    <xdr:to>
      <xdr:col>21</xdr:col>
      <xdr:colOff>371475</xdr:colOff>
      <xdr:row>66</xdr:row>
      <xdr:rowOff>142875</xdr:rowOff>
    </xdr:to>
    <xdr:sp>
      <xdr:nvSpPr>
        <xdr:cNvPr id="143" name="矩形 145"/>
        <xdr:cNvSpPr>
          <a:spLocks/>
        </xdr:cNvSpPr>
      </xdr:nvSpPr>
      <xdr:spPr>
        <a:xfrm>
          <a:off x="3552825" y="129349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67</xdr:row>
      <xdr:rowOff>9525</xdr:rowOff>
    </xdr:from>
    <xdr:to>
      <xdr:col>21</xdr:col>
      <xdr:colOff>371475</xdr:colOff>
      <xdr:row>67</xdr:row>
      <xdr:rowOff>142875</xdr:rowOff>
    </xdr:to>
    <xdr:sp>
      <xdr:nvSpPr>
        <xdr:cNvPr id="144" name="矩形 146"/>
        <xdr:cNvSpPr>
          <a:spLocks/>
        </xdr:cNvSpPr>
      </xdr:nvSpPr>
      <xdr:spPr>
        <a:xfrm>
          <a:off x="3552825" y="13125450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68</xdr:row>
      <xdr:rowOff>19050</xdr:rowOff>
    </xdr:from>
    <xdr:to>
      <xdr:col>21</xdr:col>
      <xdr:colOff>371475</xdr:colOff>
      <xdr:row>68</xdr:row>
      <xdr:rowOff>152400</xdr:rowOff>
    </xdr:to>
    <xdr:sp>
      <xdr:nvSpPr>
        <xdr:cNvPr id="145" name="矩形 147"/>
        <xdr:cNvSpPr>
          <a:spLocks/>
        </xdr:cNvSpPr>
      </xdr:nvSpPr>
      <xdr:spPr>
        <a:xfrm>
          <a:off x="3552825" y="133254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21</xdr:col>
      <xdr:colOff>66675</xdr:colOff>
      <xdr:row>69</xdr:row>
      <xdr:rowOff>19050</xdr:rowOff>
    </xdr:from>
    <xdr:to>
      <xdr:col>21</xdr:col>
      <xdr:colOff>371475</xdr:colOff>
      <xdr:row>69</xdr:row>
      <xdr:rowOff>152400</xdr:rowOff>
    </xdr:to>
    <xdr:sp>
      <xdr:nvSpPr>
        <xdr:cNvPr id="146" name="矩形 148"/>
        <xdr:cNvSpPr>
          <a:spLocks/>
        </xdr:cNvSpPr>
      </xdr:nvSpPr>
      <xdr:spPr>
        <a:xfrm>
          <a:off x="3552825" y="13515975"/>
          <a:ext cx="304800" cy="133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</a:p>
      </xdr:txBody>
    </xdr:sp>
    <xdr:clientData/>
  </xdr:twoCellAnchor>
  <xdr:twoCellAnchor>
    <xdr:from>
      <xdr:col>14</xdr:col>
      <xdr:colOff>257175</xdr:colOff>
      <xdr:row>26</xdr:row>
      <xdr:rowOff>276225</xdr:rowOff>
    </xdr:from>
    <xdr:to>
      <xdr:col>15</xdr:col>
      <xdr:colOff>228600</xdr:colOff>
      <xdr:row>26</xdr:row>
      <xdr:rowOff>276225</xdr:rowOff>
    </xdr:to>
    <xdr:sp>
      <xdr:nvSpPr>
        <xdr:cNvPr id="147" name="直線單箭頭接點 150"/>
        <xdr:cNvSpPr>
          <a:spLocks/>
        </xdr:cNvSpPr>
      </xdr:nvSpPr>
      <xdr:spPr>
        <a:xfrm>
          <a:off x="1047750" y="4981575"/>
          <a:ext cx="26670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266700</xdr:colOff>
      <xdr:row>20</xdr:row>
      <xdr:rowOff>57150</xdr:rowOff>
    </xdr:from>
    <xdr:to>
      <xdr:col>14</xdr:col>
      <xdr:colOff>266700</xdr:colOff>
      <xdr:row>26</xdr:row>
      <xdr:rowOff>276225</xdr:rowOff>
    </xdr:to>
    <xdr:sp>
      <xdr:nvSpPr>
        <xdr:cNvPr id="148" name="直線接點 5"/>
        <xdr:cNvSpPr>
          <a:spLocks/>
        </xdr:cNvSpPr>
      </xdr:nvSpPr>
      <xdr:spPr>
        <a:xfrm>
          <a:off x="1057275" y="4333875"/>
          <a:ext cx="0" cy="647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247650</xdr:colOff>
      <xdr:row>26</xdr:row>
      <xdr:rowOff>161925</xdr:rowOff>
    </xdr:from>
    <xdr:to>
      <xdr:col>23</xdr:col>
      <xdr:colOff>400050</xdr:colOff>
      <xdr:row>26</xdr:row>
      <xdr:rowOff>371475</xdr:rowOff>
    </xdr:to>
    <xdr:pic>
      <xdr:nvPicPr>
        <xdr:cNvPr id="149" name="圖片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0" y="4867275"/>
          <a:ext cx="3409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209550</xdr:colOff>
      <xdr:row>0</xdr:row>
      <xdr:rowOff>161925</xdr:rowOff>
    </xdr:from>
    <xdr:to>
      <xdr:col>64</xdr:col>
      <xdr:colOff>152400</xdr:colOff>
      <xdr:row>6</xdr:row>
      <xdr:rowOff>152400</xdr:rowOff>
    </xdr:to>
    <xdr:sp>
      <xdr:nvSpPr>
        <xdr:cNvPr id="150" name="圓角矩形 153"/>
        <xdr:cNvSpPr>
          <a:spLocks/>
        </xdr:cNvSpPr>
      </xdr:nvSpPr>
      <xdr:spPr>
        <a:xfrm>
          <a:off x="10315575" y="161925"/>
          <a:ext cx="3457575" cy="914400"/>
        </a:xfrm>
        <a:prstGeom prst="roundRect">
          <a:avLst/>
        </a:prstGeom>
        <a:gradFill rotWithShape="1">
          <a:gsLst>
            <a:gs pos="0">
              <a:srgbClr val="00FFFF"/>
            </a:gs>
            <a:gs pos="100000">
              <a:srgbClr val="FF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本版修正重點：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修正年資計算器參數</a:t>
          </a:r>
        </a:p>
      </xdr:txBody>
    </xdr:sp>
    <xdr:clientData/>
  </xdr:twoCellAnchor>
  <xdr:twoCellAnchor editAs="oneCell">
    <xdr:from>
      <xdr:col>26</xdr:col>
      <xdr:colOff>152400</xdr:colOff>
      <xdr:row>30</xdr:row>
      <xdr:rowOff>0</xdr:rowOff>
    </xdr:from>
    <xdr:to>
      <xdr:col>26</xdr:col>
      <xdr:colOff>561975</xdr:colOff>
      <xdr:row>49</xdr:row>
      <xdr:rowOff>161925</xdr:rowOff>
    </xdr:to>
    <xdr:pic>
      <xdr:nvPicPr>
        <xdr:cNvPr id="151" name="圖片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6067425"/>
          <a:ext cx="4095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EU187"/>
  <sheetViews>
    <sheetView tabSelected="1" zoomScalePageLayoutView="0" workbookViewId="0" topLeftCell="A1">
      <selection activeCell="A1" sqref="A1"/>
    </sheetView>
  </sheetViews>
  <sheetFormatPr defaultColWidth="4.25390625" defaultRowHeight="15.75"/>
  <cols>
    <col min="1" max="1" width="1.75390625" style="1" customWidth="1"/>
    <col min="2" max="2" width="4.75390625" style="60" customWidth="1"/>
    <col min="3" max="3" width="10.125" style="60" hidden="1" customWidth="1"/>
    <col min="4" max="6" width="4.25390625" style="60" hidden="1" customWidth="1"/>
    <col min="7" max="7" width="10.875" style="60" hidden="1" customWidth="1"/>
    <col min="8" max="13" width="4.25390625" style="60" hidden="1" customWidth="1"/>
    <col min="14" max="15" width="3.875" style="1" customWidth="1"/>
    <col min="16" max="16" width="4.625" style="1" customWidth="1"/>
    <col min="17" max="17" width="3.875" style="1" customWidth="1"/>
    <col min="18" max="18" width="6.125" style="1" customWidth="1"/>
    <col min="19" max="24" width="5.625" style="1" customWidth="1"/>
    <col min="25" max="25" width="16.375" style="1" customWidth="1"/>
    <col min="26" max="26" width="24.875" style="1" customWidth="1"/>
    <col min="27" max="27" width="8.625" style="1" customWidth="1"/>
    <col min="28" max="29" width="8.625" style="3" customWidth="1"/>
    <col min="30" max="30" width="0.875" style="1" customWidth="1"/>
    <col min="31" max="31" width="4.25390625" style="1" hidden="1" customWidth="1"/>
    <col min="32" max="32" width="11.75390625" style="2" hidden="1" customWidth="1"/>
    <col min="33" max="33" width="10.625" style="2" hidden="1" customWidth="1"/>
    <col min="34" max="34" width="10.875" style="1" hidden="1" customWidth="1"/>
    <col min="35" max="35" width="17.875" style="1" hidden="1" customWidth="1"/>
    <col min="36" max="36" width="7.00390625" style="1" hidden="1" customWidth="1"/>
    <col min="37" max="37" width="4.25390625" style="1" hidden="1" customWidth="1"/>
    <col min="38" max="38" width="76.125" style="1" hidden="1" customWidth="1"/>
    <col min="39" max="39" width="14.125" style="1" hidden="1" customWidth="1"/>
    <col min="40" max="40" width="12.25390625" style="1" hidden="1" customWidth="1"/>
    <col min="41" max="41" width="19.25390625" style="1" hidden="1" customWidth="1"/>
    <col min="42" max="42" width="4.25390625" style="1" hidden="1" customWidth="1"/>
    <col min="43" max="43" width="11.00390625" style="1" hidden="1" customWidth="1"/>
    <col min="44" max="44" width="14.875" style="1" hidden="1" customWidth="1"/>
    <col min="45" max="45" width="23.25390625" style="1" hidden="1" customWidth="1"/>
    <col min="46" max="48" width="4.25390625" style="1" hidden="1" customWidth="1"/>
    <col min="49" max="49" width="118.375" style="1" hidden="1" customWidth="1"/>
    <col min="50" max="50" width="5.625" style="3" hidden="1" customWidth="1"/>
    <col min="51" max="51" width="3.75390625" style="3" hidden="1" customWidth="1"/>
    <col min="52" max="52" width="5.00390625" style="3" hidden="1" customWidth="1"/>
    <col min="53" max="53" width="4.625" style="3" hidden="1" customWidth="1"/>
    <col min="54" max="54" width="6.75390625" style="3" hidden="1" customWidth="1"/>
    <col min="55" max="55" width="2.00390625" style="1" customWidth="1"/>
    <col min="56" max="65" width="5.125" style="1" customWidth="1"/>
    <col min="66" max="70" width="9.625" style="1" hidden="1" customWidth="1"/>
    <col min="71" max="74" width="4.25390625" style="1" hidden="1" customWidth="1"/>
    <col min="75" max="75" width="4.50390625" style="2" hidden="1" customWidth="1"/>
    <col min="76" max="76" width="4.25390625" style="1" hidden="1" customWidth="1"/>
    <col min="77" max="77" width="4.25390625" style="9" hidden="1" customWidth="1"/>
    <col min="78" max="78" width="7.50390625" style="2" hidden="1" customWidth="1"/>
    <col min="79" max="79" width="4.25390625" style="181" hidden="1" customWidth="1"/>
    <col min="80" max="80" width="4.25390625" style="2" hidden="1" customWidth="1"/>
    <col min="81" max="81" width="7.625" style="2" hidden="1" customWidth="1"/>
    <col min="82" max="82" width="4.25390625" style="181" hidden="1" customWidth="1"/>
    <col min="83" max="83" width="4.25390625" style="2" hidden="1" customWidth="1"/>
    <col min="84" max="84" width="6.375" style="2" hidden="1" customWidth="1"/>
    <col min="85" max="85" width="7.25390625" style="2" hidden="1" customWidth="1"/>
    <col min="86" max="86" width="4.25390625" style="2" hidden="1" customWidth="1"/>
    <col min="87" max="87" width="5.75390625" style="2" hidden="1" customWidth="1"/>
    <col min="88" max="88" width="7.75390625" style="2" hidden="1" customWidth="1"/>
    <col min="89" max="92" width="4.25390625" style="2" hidden="1" customWidth="1"/>
    <col min="93" max="101" width="6.375" style="2" hidden="1" customWidth="1"/>
    <col min="102" max="102" width="6.25390625" style="2" hidden="1" customWidth="1"/>
    <col min="103" max="115" width="6.375" style="2" hidden="1" customWidth="1"/>
    <col min="116" max="116" width="9.625" style="2" hidden="1" customWidth="1"/>
    <col min="117" max="117" width="20.00390625" style="10" hidden="1" customWidth="1"/>
    <col min="118" max="118" width="7.25390625" style="1" hidden="1" customWidth="1"/>
    <col min="119" max="119" width="9.25390625" style="1" hidden="1" customWidth="1"/>
    <col min="120" max="120" width="10.50390625" style="1" hidden="1" customWidth="1"/>
    <col min="121" max="122" width="7.25390625" style="1" hidden="1" customWidth="1"/>
    <col min="123" max="123" width="8.625" style="1" hidden="1" customWidth="1"/>
    <col min="124" max="125" width="7.25390625" style="1" hidden="1" customWidth="1"/>
    <col min="126" max="126" width="7.25390625" style="11" hidden="1" customWidth="1"/>
    <col min="127" max="127" width="4.375" style="3" hidden="1" customWidth="1"/>
    <col min="128" max="128" width="4.25390625" style="3" hidden="1" customWidth="1"/>
    <col min="129" max="131" width="4.25390625" style="1" hidden="1" customWidth="1"/>
    <col min="132" max="132" width="6.25390625" style="213" hidden="1" customWidth="1"/>
    <col min="133" max="134" width="4.25390625" style="213" hidden="1" customWidth="1"/>
    <col min="135" max="143" width="4.25390625" style="1" hidden="1" customWidth="1"/>
    <col min="144" max="144" width="9.625" style="315" hidden="1" customWidth="1"/>
    <col min="145" max="145" width="11.50390625" style="28" hidden="1" customWidth="1"/>
    <col min="146" max="146" width="46.50390625" style="315" hidden="1" customWidth="1"/>
    <col min="147" max="147" width="4.25390625" style="315" hidden="1" customWidth="1"/>
    <col min="148" max="149" width="4.25390625" style="1" hidden="1" customWidth="1"/>
    <col min="150" max="150" width="8.125" style="1" hidden="1" customWidth="1"/>
    <col min="151" max="151" width="8.375" style="1" hidden="1" customWidth="1"/>
    <col min="152" max="156" width="4.25390625" style="1" hidden="1" customWidth="1"/>
    <col min="157" max="157" width="4.25390625" style="1" customWidth="1"/>
    <col min="158" max="16384" width="4.25390625" style="1" customWidth="1"/>
  </cols>
  <sheetData>
    <row r="1" spans="1:145" ht="29.25" customHeight="1" thickBot="1">
      <c r="A1" s="142"/>
      <c r="B1" s="548" t="s">
        <v>161</v>
      </c>
      <c r="C1" s="549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1"/>
      <c r="AY1" s="4"/>
      <c r="AZ1" s="4"/>
      <c r="BA1" s="4"/>
      <c r="BB1" s="4"/>
      <c r="BC1" s="5"/>
      <c r="BD1" s="186"/>
      <c r="BE1" s="186"/>
      <c r="BF1" s="186"/>
      <c r="BG1" s="186"/>
      <c r="BH1" s="187"/>
      <c r="BI1" s="187"/>
      <c r="BJ1" s="188"/>
      <c r="BK1" s="188"/>
      <c r="BL1" s="188"/>
      <c r="BM1" s="188"/>
      <c r="BN1" s="6"/>
      <c r="BO1" s="6"/>
      <c r="BP1" s="6"/>
      <c r="BQ1" s="6"/>
      <c r="BR1" s="6"/>
      <c r="BS1" s="6"/>
      <c r="BT1" s="6"/>
      <c r="BU1" s="6"/>
      <c r="BV1" s="6"/>
      <c r="BW1" s="179"/>
      <c r="BX1" s="8"/>
      <c r="CD1" s="181">
        <f>IF($U$9+$U$10+$W$9+$W$10=0,$U$8,IF(AND($U$9-$U$10=0,$W$9-$W$10=0),$U$8,BX31))</f>
        <v>9</v>
      </c>
      <c r="DL1" s="103" t="s">
        <v>86</v>
      </c>
      <c r="DN1" s="103" t="s">
        <v>150</v>
      </c>
      <c r="DO1" s="103" t="s">
        <v>151</v>
      </c>
      <c r="DP1" s="103" t="s">
        <v>152</v>
      </c>
      <c r="DY1" s="8"/>
      <c r="DZ1" s="8"/>
      <c r="EA1" s="8"/>
      <c r="EB1" s="209"/>
      <c r="EC1" s="209"/>
      <c r="ED1" s="209"/>
      <c r="EE1" s="8"/>
      <c r="EF1" s="8"/>
      <c r="EG1" s="196"/>
      <c r="EH1" s="8"/>
      <c r="EI1" s="8"/>
      <c r="EJ1" s="8"/>
      <c r="EK1" s="6"/>
      <c r="EL1" s="8"/>
      <c r="EM1" s="8"/>
      <c r="EN1" s="314"/>
      <c r="EO1" s="30"/>
    </row>
    <row r="2" spans="1:145" ht="14.25" customHeight="1">
      <c r="A2" s="142"/>
      <c r="B2" s="224"/>
      <c r="C2" s="12"/>
      <c r="D2" s="12"/>
      <c r="E2" s="12"/>
      <c r="F2" s="12"/>
      <c r="G2" s="12"/>
      <c r="H2" s="12"/>
      <c r="I2" s="12"/>
      <c r="J2" s="13"/>
      <c r="K2" s="14"/>
      <c r="L2" s="14"/>
      <c r="M2" s="14"/>
      <c r="N2" s="15"/>
      <c r="O2" s="16"/>
      <c r="P2" s="16"/>
      <c r="Q2" s="477" t="s">
        <v>97</v>
      </c>
      <c r="R2" s="478"/>
      <c r="S2" s="478"/>
      <c r="T2" s="478"/>
      <c r="U2" s="478"/>
      <c r="V2" s="478"/>
      <c r="W2" s="478"/>
      <c r="X2" s="478"/>
      <c r="Y2" s="478"/>
      <c r="Z2" s="479"/>
      <c r="AA2" s="16"/>
      <c r="AB2" s="16"/>
      <c r="AC2" s="16"/>
      <c r="AD2" s="17"/>
      <c r="AE2" s="18"/>
      <c r="AY2" s="4"/>
      <c r="AZ2" s="4"/>
      <c r="BA2" s="4"/>
      <c r="BB2" s="4"/>
      <c r="BC2" s="5"/>
      <c r="BD2" s="186"/>
      <c r="BE2" s="186"/>
      <c r="BF2" s="186"/>
      <c r="BG2" s="186"/>
      <c r="BH2" s="187"/>
      <c r="BI2" s="187"/>
      <c r="BJ2" s="189"/>
      <c r="BK2" s="190"/>
      <c r="BL2" s="190"/>
      <c r="BM2" s="190"/>
      <c r="BN2" s="19"/>
      <c r="BO2" s="19"/>
      <c r="BP2" s="19"/>
      <c r="BQ2" s="19"/>
      <c r="BR2" s="19"/>
      <c r="BS2" s="19"/>
      <c r="BT2" s="19"/>
      <c r="BU2" s="19"/>
      <c r="BV2" s="19"/>
      <c r="BW2" s="179"/>
      <c r="BX2" s="8"/>
      <c r="DL2" s="181" t="str">
        <f>IF(MID(DL5,1,3)&amp;"."&amp;U7&amp;"."&amp;W7=DL5,"."&amp;U7&amp;"."&amp;W7,"."&amp;AB9&amp;"."&amp;AC9)</f>
        <v>.9.28</v>
      </c>
      <c r="DM2" s="10" t="s">
        <v>71</v>
      </c>
      <c r="DN2" s="9">
        <f>VALUE(LEFT(DM7,3))</f>
        <v>116</v>
      </c>
      <c r="DO2" s="20">
        <f>VALUE(LEFT(DN5,3))</f>
        <v>115</v>
      </c>
      <c r="DP2" s="2">
        <f>VLOOKUP(DN2,B31:S70,18,0)</f>
        <v>58</v>
      </c>
      <c r="DQ2" s="9"/>
      <c r="DR2" s="9"/>
      <c r="DS2" s="9"/>
      <c r="DT2" s="9"/>
      <c r="DU2" s="9"/>
      <c r="DV2" s="21"/>
      <c r="DW2" s="498" t="s">
        <v>13</v>
      </c>
      <c r="DX2" s="507"/>
      <c r="DY2" s="8"/>
      <c r="DZ2" s="8"/>
      <c r="EA2" s="8"/>
      <c r="EB2" s="209"/>
      <c r="EC2" s="209"/>
      <c r="ED2" s="209"/>
      <c r="EE2" s="8"/>
      <c r="EF2" s="8"/>
      <c r="EG2" s="196"/>
      <c r="EH2" s="8"/>
      <c r="EI2" s="8"/>
      <c r="EJ2" s="8"/>
      <c r="EK2" s="19"/>
      <c r="EL2" s="8"/>
      <c r="EM2" s="8"/>
      <c r="EN2" s="314"/>
      <c r="EO2" s="30"/>
    </row>
    <row r="3" spans="1:147" s="29" customFormat="1" ht="1.5" customHeight="1">
      <c r="A3" s="143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5"/>
      <c r="X3" s="23"/>
      <c r="Y3" s="23"/>
      <c r="Z3" s="23"/>
      <c r="AA3" s="23"/>
      <c r="AB3" s="23"/>
      <c r="AC3" s="23"/>
      <c r="AD3" s="23"/>
      <c r="AE3" s="26"/>
      <c r="AF3" s="26"/>
      <c r="AG3" s="26"/>
      <c r="AH3" s="26"/>
      <c r="AI3" s="26"/>
      <c r="AJ3" s="27"/>
      <c r="AK3" s="27"/>
      <c r="AL3" s="28"/>
      <c r="AM3" s="28"/>
      <c r="AN3" s="28"/>
      <c r="AO3" s="28"/>
      <c r="AP3" s="28"/>
      <c r="AQ3" s="28"/>
      <c r="AR3" s="28"/>
      <c r="AS3" s="28"/>
      <c r="AT3" s="28"/>
      <c r="AW3" s="30"/>
      <c r="AX3" s="31"/>
      <c r="AY3" s="32"/>
      <c r="AZ3" s="32"/>
      <c r="BA3" s="32"/>
      <c r="BB3" s="32"/>
      <c r="BC3" s="33"/>
      <c r="BD3" s="186"/>
      <c r="BE3" s="186"/>
      <c r="BF3" s="186"/>
      <c r="BG3" s="186"/>
      <c r="BH3" s="191"/>
      <c r="BI3" s="191"/>
      <c r="BJ3" s="191"/>
      <c r="BK3" s="191"/>
      <c r="BL3" s="191"/>
      <c r="BM3" s="191"/>
      <c r="BN3" s="34"/>
      <c r="BO3" s="34"/>
      <c r="BP3" s="34"/>
      <c r="BQ3" s="34"/>
      <c r="BR3" s="34"/>
      <c r="BS3" s="34"/>
      <c r="BT3" s="34"/>
      <c r="BU3" s="34"/>
      <c r="BV3" s="34"/>
      <c r="BW3" s="179"/>
      <c r="BX3" s="34"/>
      <c r="BY3" s="20"/>
      <c r="BZ3" s="2"/>
      <c r="CA3" s="181"/>
      <c r="CB3" s="2"/>
      <c r="CC3" s="2"/>
      <c r="CD3" s="181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10"/>
      <c r="DN3" s="20"/>
      <c r="DO3" s="20"/>
      <c r="DP3" s="20"/>
      <c r="DQ3" s="20"/>
      <c r="DR3" s="20"/>
      <c r="DS3" s="20"/>
      <c r="DT3" s="20"/>
      <c r="DU3" s="20"/>
      <c r="DV3" s="21"/>
      <c r="DW3" s="10"/>
      <c r="DX3" s="3"/>
      <c r="DY3" s="34"/>
      <c r="DZ3" s="34"/>
      <c r="EA3" s="34"/>
      <c r="EB3" s="210"/>
      <c r="EC3" s="210"/>
      <c r="ED3" s="210"/>
      <c r="EE3" s="34"/>
      <c r="EF3" s="34"/>
      <c r="EG3" s="197"/>
      <c r="EH3" s="34"/>
      <c r="EI3" s="34"/>
      <c r="EJ3" s="34"/>
      <c r="EK3" s="34"/>
      <c r="EL3" s="34"/>
      <c r="EM3" s="34"/>
      <c r="EN3" s="314"/>
      <c r="EO3" s="30"/>
      <c r="EP3" s="315"/>
      <c r="EQ3" s="315"/>
    </row>
    <row r="4" spans="1:147" s="29" customFormat="1" ht="3.75" customHeight="1" thickBot="1">
      <c r="A4" s="143"/>
      <c r="B4" s="14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6"/>
      <c r="O4" s="36"/>
      <c r="P4" s="36"/>
      <c r="Q4" s="36"/>
      <c r="R4" s="36"/>
      <c r="S4" s="36"/>
      <c r="T4" s="36"/>
      <c r="U4" s="36"/>
      <c r="V4" s="36"/>
      <c r="W4" s="37"/>
      <c r="X4" s="38"/>
      <c r="Y4" s="38"/>
      <c r="Z4" s="38"/>
      <c r="AA4" s="38"/>
      <c r="AB4" s="38"/>
      <c r="AC4" s="38"/>
      <c r="AD4" s="38"/>
      <c r="AE4" s="26"/>
      <c r="AF4" s="26"/>
      <c r="AG4" s="26"/>
      <c r="AH4" s="26"/>
      <c r="AI4" s="26"/>
      <c r="AJ4" s="27"/>
      <c r="AK4" s="27"/>
      <c r="AL4" s="28"/>
      <c r="AM4" s="28"/>
      <c r="AN4" s="28"/>
      <c r="AO4" s="28"/>
      <c r="AP4" s="28"/>
      <c r="AQ4" s="28"/>
      <c r="AR4" s="28"/>
      <c r="AS4" s="28"/>
      <c r="AT4" s="28"/>
      <c r="AW4" s="30"/>
      <c r="AX4" s="31"/>
      <c r="AY4" s="32"/>
      <c r="AZ4" s="32"/>
      <c r="BA4" s="32"/>
      <c r="BB4" s="32"/>
      <c r="BC4" s="33"/>
      <c r="BD4" s="186"/>
      <c r="BE4" s="186"/>
      <c r="BF4" s="186"/>
      <c r="BG4" s="186"/>
      <c r="BH4" s="191"/>
      <c r="BI4" s="191"/>
      <c r="BJ4" s="191"/>
      <c r="BK4" s="191"/>
      <c r="BL4" s="191"/>
      <c r="BM4" s="191"/>
      <c r="BN4" s="34"/>
      <c r="BO4" s="34"/>
      <c r="BP4" s="34"/>
      <c r="BQ4" s="34"/>
      <c r="BR4" s="34"/>
      <c r="BS4" s="34"/>
      <c r="BT4" s="34"/>
      <c r="BU4" s="34"/>
      <c r="BV4" s="34"/>
      <c r="BW4" s="179"/>
      <c r="BX4" s="34"/>
      <c r="BY4" s="20"/>
      <c r="BZ4" s="2"/>
      <c r="CA4" s="181"/>
      <c r="CB4" s="2"/>
      <c r="CC4" s="2"/>
      <c r="CD4" s="181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10"/>
      <c r="DV4" s="11"/>
      <c r="DW4" s="39"/>
      <c r="DX4" s="3"/>
      <c r="DY4" s="34"/>
      <c r="DZ4" s="34"/>
      <c r="EA4" s="34"/>
      <c r="EB4" s="210"/>
      <c r="EC4" s="210"/>
      <c r="ED4" s="210"/>
      <c r="EE4" s="34"/>
      <c r="EF4" s="34"/>
      <c r="EG4" s="197"/>
      <c r="EH4" s="34"/>
      <c r="EI4" s="34"/>
      <c r="EJ4" s="34"/>
      <c r="EK4" s="34"/>
      <c r="EL4" s="34"/>
      <c r="EM4" s="34"/>
      <c r="EN4" s="314"/>
      <c r="EO4" s="30"/>
      <c r="EP4" s="315"/>
      <c r="EQ4" s="315"/>
    </row>
    <row r="5" spans="1:145" ht="18.75" customHeight="1" thickBot="1" thickTop="1">
      <c r="A5" s="142"/>
      <c r="B5" s="545">
        <f>IF(AND(S5="公務人員",DATE(1911+AA9,AB9,AC9)&gt;=DATE(2011,1,1)),"×",IF(AND(S5="高中以下教師",DATE(1911+AA9,AB9,AC9)&gt;=DATE(2014,1,1)),"×",1))</f>
        <v>1</v>
      </c>
      <c r="C5" s="546"/>
      <c r="D5" s="546"/>
      <c r="E5" s="546"/>
      <c r="F5" s="546"/>
      <c r="G5" s="546"/>
      <c r="H5" s="546"/>
      <c r="I5" s="547"/>
      <c r="J5" s="40"/>
      <c r="K5" s="41"/>
      <c r="L5" s="41"/>
      <c r="M5" s="41"/>
      <c r="N5" s="482" t="s">
        <v>119</v>
      </c>
      <c r="O5" s="483"/>
      <c r="P5" s="483"/>
      <c r="Q5" s="483"/>
      <c r="R5" s="484"/>
      <c r="S5" s="552" t="s">
        <v>71</v>
      </c>
      <c r="T5" s="553"/>
      <c r="U5" s="553"/>
      <c r="V5" s="554"/>
      <c r="W5" s="42"/>
      <c r="X5" s="43"/>
      <c r="Y5" s="44"/>
      <c r="Z5" s="45" t="str">
        <f>DM5</f>
        <v>116.8.1。【說明：原實際條件成就之日期為115.9.28，惟因須配合學期暨受次年度指標數增加或過渡期結束之影響，而必須二次遞延至當學年度結束之次日，始能退休生效，爰推算為116.8.1】。</v>
      </c>
      <c r="AA5" s="46"/>
      <c r="AB5" s="235"/>
      <c r="AC5" s="45"/>
      <c r="AD5" s="47"/>
      <c r="AE5" s="48"/>
      <c r="AF5" s="49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Y5" s="4"/>
      <c r="AZ5" s="4"/>
      <c r="BA5" s="4"/>
      <c r="BB5" s="4"/>
      <c r="BC5" s="5"/>
      <c r="BD5" s="186"/>
      <c r="BE5" s="186"/>
      <c r="BF5" s="186"/>
      <c r="BG5" s="186"/>
      <c r="BH5" s="187"/>
      <c r="BI5" s="187"/>
      <c r="BJ5" s="189"/>
      <c r="BK5" s="190"/>
      <c r="BL5" s="190"/>
      <c r="BM5" s="190"/>
      <c r="BN5" s="19"/>
      <c r="BO5" s="19"/>
      <c r="BP5" s="19"/>
      <c r="BQ5" s="19"/>
      <c r="BR5" s="19"/>
      <c r="BS5" s="19"/>
      <c r="BT5" s="19"/>
      <c r="BU5" s="19"/>
      <c r="BV5" s="19"/>
      <c r="BW5" s="179"/>
      <c r="BX5" s="8"/>
      <c r="CD5" s="459" t="s">
        <v>22</v>
      </c>
      <c r="CE5" s="459"/>
      <c r="DL5" s="51">
        <f>CONCATENATE(DL8,DL9)</f>
      </c>
      <c r="DM5" s="51" t="str">
        <f>DM21&amp;"。"</f>
        <v>116.8.1。【說明：原實際條件成就之日期為115.9.28，惟因須配合學期暨受次年度指標數增加或過渡期結束之影響，而必須二次遞延至當學年度結束之次日，始能退休生效，爰推算為116.8.1】。</v>
      </c>
      <c r="DN5" s="51" t="str">
        <f>DM16</f>
        <v>115.9.28</v>
      </c>
      <c r="DO5" s="299">
        <f>DATE(LEFT(DN5,3)+1911,MID(DN5,5,2),RIGHT(DN5,2))</f>
        <v>46293</v>
      </c>
      <c r="DP5" s="21"/>
      <c r="DR5" s="1" t="str">
        <f>IF(AND(DO5&gt;=DATE(DO2+1911,1,1),DO5&lt;=DATE(DO2+1911,2,1)),DO2&amp;".2.1",IF(AND(DO5&gt;DATE(DO2+1911,2,1),DO5&lt;=DATE(DO2+1911,8,1)),DO2&amp;".8.1",IF(AND(DO5&gt;DATE(DO2+1911,8,1),DO5&lt;=DATE(DO2+1911,12,31)),DO2+1&amp;".2.1","")))</f>
        <v>116.2.1</v>
      </c>
      <c r="DS5" s="315" t="str">
        <f>DR5&amp;"。【說明：原實際條件成就之日期為"&amp;DN5&amp;"】。"</f>
        <v>116.2.1。【說明：原實際條件成就之日期為115.9.28】。</v>
      </c>
      <c r="DV5" s="51"/>
      <c r="DW5" s="515">
        <f>CONCATENATE(DW8,DW9)</f>
      </c>
      <c r="DX5" s="516"/>
      <c r="DY5" s="8"/>
      <c r="DZ5" s="8"/>
      <c r="EA5" s="8"/>
      <c r="EB5" s="209"/>
      <c r="EC5" s="209"/>
      <c r="ED5" s="209"/>
      <c r="EE5" s="8"/>
      <c r="EF5" s="8"/>
      <c r="EG5" s="196"/>
      <c r="EH5" s="8"/>
      <c r="EI5" s="8"/>
      <c r="EJ5" s="8"/>
      <c r="EK5" s="19"/>
      <c r="EL5" s="8"/>
      <c r="EM5" s="8"/>
      <c r="EN5" s="314"/>
      <c r="EO5" s="30"/>
    </row>
    <row r="6" spans="1:147" s="29" customFormat="1" ht="5.25" customHeight="1" thickBot="1" thickTop="1">
      <c r="A6" s="143"/>
      <c r="B6" s="14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6"/>
      <c r="O6" s="36"/>
      <c r="P6" s="36"/>
      <c r="Q6" s="36"/>
      <c r="R6" s="36"/>
      <c r="S6" s="36"/>
      <c r="T6" s="36"/>
      <c r="U6" s="36"/>
      <c r="V6" s="36"/>
      <c r="W6" s="37"/>
      <c r="X6" s="38"/>
      <c r="Y6" s="35"/>
      <c r="Z6" s="35"/>
      <c r="AA6" s="46"/>
      <c r="AB6" s="235"/>
      <c r="AC6" s="35"/>
      <c r="AD6" s="52"/>
      <c r="AE6" s="53"/>
      <c r="AF6" s="53"/>
      <c r="AG6" s="53"/>
      <c r="AH6" s="53"/>
      <c r="AI6" s="53"/>
      <c r="AJ6" s="54"/>
      <c r="AK6" s="54"/>
      <c r="AL6" s="55"/>
      <c r="AM6" s="55"/>
      <c r="AN6" s="55"/>
      <c r="AO6" s="55"/>
      <c r="AP6" s="55"/>
      <c r="AQ6" s="55"/>
      <c r="AR6" s="55"/>
      <c r="AS6" s="55"/>
      <c r="AT6" s="55"/>
      <c r="AU6" s="56"/>
      <c r="AV6" s="56"/>
      <c r="AW6" s="57"/>
      <c r="AX6" s="31"/>
      <c r="AY6" s="32"/>
      <c r="AZ6" s="32"/>
      <c r="BA6" s="32"/>
      <c r="BB6" s="32"/>
      <c r="BC6" s="33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/>
      <c r="BO6"/>
      <c r="BP6" s="34"/>
      <c r="BQ6" s="34"/>
      <c r="BR6" s="34"/>
      <c r="BS6" s="34"/>
      <c r="BT6" s="34"/>
      <c r="BU6" s="34"/>
      <c r="BV6" s="34"/>
      <c r="BW6" s="179"/>
      <c r="BX6" s="34"/>
      <c r="BY6" s="20"/>
      <c r="BZ6" s="2"/>
      <c r="CA6" s="181"/>
      <c r="CB6" s="2"/>
      <c r="CC6" s="2"/>
      <c r="CD6" s="459"/>
      <c r="CE6" s="459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10"/>
      <c r="DM6" s="10"/>
      <c r="DV6" s="10"/>
      <c r="DW6" s="10"/>
      <c r="DX6" s="3"/>
      <c r="DY6" s="34"/>
      <c r="DZ6" s="34"/>
      <c r="EA6" s="34"/>
      <c r="EB6" s="210"/>
      <c r="EC6" s="210"/>
      <c r="ED6" s="210"/>
      <c r="EE6" s="34"/>
      <c r="EF6" s="34"/>
      <c r="EG6" s="197"/>
      <c r="EH6" s="34"/>
      <c r="EI6" s="34"/>
      <c r="EJ6" s="34"/>
      <c r="EK6" s="34"/>
      <c r="EL6" s="34"/>
      <c r="EM6" s="34"/>
      <c r="EN6" s="314"/>
      <c r="EO6" s="30"/>
      <c r="EP6" s="315"/>
      <c r="EQ6" s="315"/>
    </row>
    <row r="7" spans="1:145" ht="15.75" customHeight="1" thickBot="1" thickTop="1">
      <c r="A7" s="142"/>
      <c r="B7" s="150"/>
      <c r="N7" s="61"/>
      <c r="O7" s="460" t="s">
        <v>23</v>
      </c>
      <c r="P7" s="460"/>
      <c r="Q7" s="460"/>
      <c r="R7" s="460"/>
      <c r="S7" s="206">
        <v>58</v>
      </c>
      <c r="T7" s="62" t="s">
        <v>15</v>
      </c>
      <c r="U7" s="207">
        <v>2</v>
      </c>
      <c r="V7" s="62" t="s">
        <v>16</v>
      </c>
      <c r="W7" s="208">
        <v>5</v>
      </c>
      <c r="X7" s="63" t="s">
        <v>17</v>
      </c>
      <c r="Y7" s="180">
        <f>VALUE(LEFT(Z7,4)&amp;MID(Z7,6,2)&amp;RIGHT(Z7,2))</f>
        <v>19690205</v>
      </c>
      <c r="Z7" s="65" t="str">
        <f>IF(AND(U7&lt;10,W7&lt;10),S7+1911&amp;"/"&amp;"0"&amp;U7&amp;"/"&amp;"0"&amp;W7,IF(U7&lt;10,S7+1911&amp;"/"&amp;"0"&amp;U7&amp;"/"&amp;W7,IF(W7&lt;10,S7+1911&amp;"/"&amp;U7&amp;"/"&amp;"0"&amp;W7,S7+1911&amp;"/"&amp;U7&amp;"/"&amp;W7)))</f>
        <v>1969/02/05</v>
      </c>
      <c r="AA7" s="485" t="s">
        <v>98</v>
      </c>
      <c r="AB7" s="486"/>
      <c r="AC7" s="487"/>
      <c r="AD7" s="66"/>
      <c r="AE7" s="221"/>
      <c r="AF7" s="67"/>
      <c r="AG7" s="67"/>
      <c r="AH7" s="68"/>
      <c r="AI7" s="68"/>
      <c r="AJ7" s="68"/>
      <c r="AK7" s="68"/>
      <c r="AL7" s="68"/>
      <c r="AM7" s="129" t="s">
        <v>67</v>
      </c>
      <c r="AN7" s="130">
        <f>VLOOKUP(65,AP31:AR113,2,FALSE)</f>
        <v>20341231</v>
      </c>
      <c r="AO7" s="68"/>
      <c r="AP7" s="68"/>
      <c r="AQ7" s="68"/>
      <c r="AR7" s="68"/>
      <c r="AS7" s="68"/>
      <c r="AT7" s="68"/>
      <c r="AU7" s="68"/>
      <c r="AV7" s="68"/>
      <c r="AW7" s="68"/>
      <c r="AX7" s="69"/>
      <c r="AY7" s="4"/>
      <c r="AZ7" s="4"/>
      <c r="BA7" s="4"/>
      <c r="BB7" s="4"/>
      <c r="BC7" s="5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/>
      <c r="BO7"/>
      <c r="BP7" s="70"/>
      <c r="BQ7" s="70"/>
      <c r="BR7" s="70"/>
      <c r="BS7" s="70"/>
      <c r="BT7" s="70"/>
      <c r="BU7" s="70"/>
      <c r="BV7" s="70"/>
      <c r="BW7" s="179"/>
      <c r="BX7" s="8"/>
      <c r="CD7" s="459"/>
      <c r="CE7" s="459"/>
      <c r="DG7" s="2" t="s">
        <v>87</v>
      </c>
      <c r="DH7" s="2" t="str">
        <f>"."&amp;U7&amp;"."&amp;W7</f>
        <v>.2.5</v>
      </c>
      <c r="DL7" s="10"/>
      <c r="DM7" s="338" t="str">
        <f>DM21&amp;"。"</f>
        <v>116.8.1。【說明：原實際條件成就之日期為115.9.28，惟因須配合學期暨受次年度指標數增加或過渡期結束之影響，而必須二次遞延至當學年度結束之次日，始能退休生效，爰推算為116.8.1】。</v>
      </c>
      <c r="DV7" s="10"/>
      <c r="DW7" s="10"/>
      <c r="DY7" s="8"/>
      <c r="DZ7" s="8"/>
      <c r="EA7" s="8"/>
      <c r="EB7" s="209"/>
      <c r="EC7" s="209"/>
      <c r="ED7" s="209"/>
      <c r="EE7" s="8"/>
      <c r="EF7" s="8"/>
      <c r="EG7" s="196"/>
      <c r="EH7" s="8"/>
      <c r="EI7" s="8"/>
      <c r="EJ7" s="8"/>
      <c r="EK7" s="70"/>
      <c r="EL7" s="8"/>
      <c r="EM7" s="8"/>
      <c r="EN7" s="314"/>
      <c r="EO7" s="30"/>
    </row>
    <row r="8" spans="1:145" ht="15.75" customHeight="1" thickBot="1" thickTop="1">
      <c r="A8" s="142"/>
      <c r="B8" s="150"/>
      <c r="N8" s="37"/>
      <c r="O8" s="460" t="s">
        <v>24</v>
      </c>
      <c r="P8" s="460"/>
      <c r="Q8" s="460"/>
      <c r="R8" s="460"/>
      <c r="S8" s="206">
        <v>90</v>
      </c>
      <c r="T8" s="62" t="s">
        <v>25</v>
      </c>
      <c r="U8" s="207">
        <v>8</v>
      </c>
      <c r="V8" s="62" t="s">
        <v>26</v>
      </c>
      <c r="W8" s="207">
        <v>1</v>
      </c>
      <c r="X8" s="63" t="s">
        <v>27</v>
      </c>
      <c r="Y8" s="64">
        <f>VALUE(LEFT(Z8,4)&amp;MID(Z8,6,2)&amp;RIGHT(Z8,2))</f>
        <v>371004</v>
      </c>
      <c r="Z8" s="363">
        <f>DATE(S8+1911,U8,W8)</f>
        <v>37104</v>
      </c>
      <c r="AA8" s="488"/>
      <c r="AB8" s="489"/>
      <c r="AC8" s="490"/>
      <c r="AD8" s="66"/>
      <c r="AE8" s="221"/>
      <c r="AF8" s="67"/>
      <c r="AG8" s="67"/>
      <c r="AH8" s="68"/>
      <c r="AI8" s="68"/>
      <c r="AJ8" s="68"/>
      <c r="AK8" s="68"/>
      <c r="AL8" s="68"/>
      <c r="AM8" s="129" t="s">
        <v>68</v>
      </c>
      <c r="AN8" s="130">
        <f>VLOOKUP("符合",AO31:AR66,3,FALSE)</f>
        <v>20261231</v>
      </c>
      <c r="AO8" s="68"/>
      <c r="AP8" s="68"/>
      <c r="AQ8" s="68"/>
      <c r="AR8" s="68"/>
      <c r="AS8" s="68"/>
      <c r="AT8" s="68"/>
      <c r="AU8" s="68"/>
      <c r="AV8" s="68"/>
      <c r="AW8" s="68"/>
      <c r="AX8" s="69"/>
      <c r="AY8" s="4"/>
      <c r="AZ8" s="4"/>
      <c r="BA8" s="4"/>
      <c r="BB8" s="4"/>
      <c r="BC8" s="5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/>
      <c r="BO8"/>
      <c r="BP8" s="8"/>
      <c r="BQ8" s="8"/>
      <c r="BR8" s="8"/>
      <c r="BS8" s="8"/>
      <c r="BT8" s="8"/>
      <c r="BU8" s="8"/>
      <c r="BV8" s="8"/>
      <c r="BW8" s="179"/>
      <c r="BX8" s="8"/>
      <c r="CD8" s="182" t="s">
        <v>2</v>
      </c>
      <c r="CE8" s="71" t="s">
        <v>27</v>
      </c>
      <c r="DG8" s="2" t="s">
        <v>88</v>
      </c>
      <c r="DH8" s="2" t="str">
        <f>"."&amp;AB9&amp;"."&amp;AC9</f>
        <v>.9.28</v>
      </c>
      <c r="DL8" s="204">
        <f>CONCATENATE(DL31,DL32,DL33,DL34,DL35,DL36,DL37,DL38,DL39,DL40,DL41,DL42,DL43,DL44,DL45,DL46)</f>
      </c>
      <c r="DM8" s="72"/>
      <c r="DN8" s="72"/>
      <c r="DV8" s="72"/>
      <c r="DW8" s="517">
        <f>CONCATENATE(DX31,DX32,DX33,DX34,DX35,DX36,DX37,DX38,DX39,DX40,DX41,DX42,DX43,DX44,DX45,DX46)</f>
      </c>
      <c r="DX8" s="507"/>
      <c r="DY8" s="8"/>
      <c r="DZ8" s="8"/>
      <c r="EA8" s="8"/>
      <c r="EB8" s="209"/>
      <c r="EC8" s="209"/>
      <c r="ED8" s="209"/>
      <c r="EE8" s="8"/>
      <c r="EF8" s="8"/>
      <c r="EG8" s="196"/>
      <c r="EH8" s="8"/>
      <c r="EI8" s="8"/>
      <c r="EJ8" s="8"/>
      <c r="EK8" s="8"/>
      <c r="EL8" s="8"/>
      <c r="EM8" s="8"/>
      <c r="EN8" s="314"/>
      <c r="EO8" s="30"/>
    </row>
    <row r="9" spans="1:145" ht="15.75" customHeight="1" thickBot="1" thickTop="1">
      <c r="A9" s="142"/>
      <c r="B9" s="150"/>
      <c r="N9" s="460" t="s">
        <v>14</v>
      </c>
      <c r="O9" s="461"/>
      <c r="P9" s="461"/>
      <c r="Q9" s="461"/>
      <c r="R9" s="462"/>
      <c r="S9" s="206"/>
      <c r="T9" s="62" t="s">
        <v>1</v>
      </c>
      <c r="U9" s="207"/>
      <c r="V9" s="62" t="s">
        <v>2</v>
      </c>
      <c r="W9" s="207"/>
      <c r="X9" s="63" t="s">
        <v>3</v>
      </c>
      <c r="Y9" s="511" t="s">
        <v>28</v>
      </c>
      <c r="Z9" s="512"/>
      <c r="AA9" s="216">
        <f>YEAR(AD9)-1911</f>
        <v>88</v>
      </c>
      <c r="AB9" s="217">
        <f>IF(U9+W9+U10+W10=0,U8,MONTH(AD9))</f>
        <v>9</v>
      </c>
      <c r="AC9" s="218">
        <f>IF(U9+W9+U10+W10=0,W8,DAY(AD9))</f>
        <v>28</v>
      </c>
      <c r="AD9" s="219">
        <f>DATE(S8+1911,U8,W8)+AE9-AE10</f>
        <v>36431</v>
      </c>
      <c r="AE9" s="222">
        <f>IF(S9+U9+W9=0,0,S9*365+U9*30+W9)</f>
        <v>0</v>
      </c>
      <c r="AF9" s="49"/>
      <c r="AG9" s="49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5"/>
      <c r="AX9" s="74"/>
      <c r="AY9" s="75"/>
      <c r="AZ9" s="75"/>
      <c r="BA9" s="75"/>
      <c r="BB9" s="75"/>
      <c r="BC9" s="5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/>
      <c r="BO9"/>
      <c r="BP9" s="8"/>
      <c r="BQ9" s="8"/>
      <c r="BR9" s="8"/>
      <c r="BS9" s="8"/>
      <c r="BT9" s="8"/>
      <c r="BU9" s="8"/>
      <c r="BV9" s="8"/>
      <c r="BW9" s="179"/>
      <c r="BX9" s="8"/>
      <c r="CD9" s="182">
        <f>IF(AND(W8=1,U8=1),12,IF(AND(W8=1,U8&gt;1),U8-1,U8))</f>
        <v>7</v>
      </c>
      <c r="CE9" s="71">
        <f>IF(AND(W8=1,OR(CD9=1,CD9=3,CD9=5,CD9=7,CD9=8,CD9=10,CD9=12)),31,IF(AND(W8=1,OR(CD9=4,CD9=6,CD9=9,CD9=11)),30,IF(AND(W8=1,CD9=2,MOD(1911+S8,4)=0),29,IF(AND(W8=1,CD9=2,MOD(1911+S8,4)&gt;0),28,W8))))</f>
        <v>31</v>
      </c>
      <c r="DG9" s="2" t="s">
        <v>89</v>
      </c>
      <c r="DH9" s="2" t="str">
        <f>IF(CF31="初任",DH8,DH7)</f>
        <v>.2.5</v>
      </c>
      <c r="DL9" s="203">
        <f>CONCATENATE(DL47,DL48,DL49,DL50,DL51,DL52,DL53,DL54,DL55,DL56,DL57,DL58,DL59,DL60,DL61,DL62,DL63,DL64,DL65,DL66)</f>
      </c>
      <c r="DM9" s="76"/>
      <c r="DN9" s="76"/>
      <c r="DV9" s="76"/>
      <c r="DW9" s="518">
        <f>CONCATENATE(DX47,DX48,DX49,DX50,DX51,DX52,DX53,DX54,DX55,DX56,DX57,DX58,DX59,DX60,DX61,DX62,DX63,DX64,DX65,DX66)</f>
      </c>
      <c r="DX9" s="507"/>
      <c r="DY9" s="8"/>
      <c r="DZ9" s="8"/>
      <c r="EA9" s="8"/>
      <c r="EB9" s="209"/>
      <c r="EC9" s="209"/>
      <c r="ED9" s="209"/>
      <c r="EE9" s="8"/>
      <c r="EF9" s="8"/>
      <c r="EG9" s="196"/>
      <c r="EH9" s="8"/>
      <c r="EI9" s="8"/>
      <c r="EJ9" s="8"/>
      <c r="EK9" s="8"/>
      <c r="EL9" s="8"/>
      <c r="EM9" s="8"/>
      <c r="EN9" s="314"/>
      <c r="EO9" s="30"/>
    </row>
    <row r="10" spans="1:145" ht="15.75" customHeight="1" thickBot="1" thickTop="1">
      <c r="A10" s="142"/>
      <c r="B10" s="150"/>
      <c r="N10" s="460" t="s">
        <v>29</v>
      </c>
      <c r="O10" s="461"/>
      <c r="P10" s="461"/>
      <c r="Q10" s="461"/>
      <c r="R10" s="462"/>
      <c r="S10" s="206">
        <v>1</v>
      </c>
      <c r="T10" s="62" t="s">
        <v>30</v>
      </c>
      <c r="U10" s="207">
        <v>10</v>
      </c>
      <c r="V10" s="62" t="s">
        <v>31</v>
      </c>
      <c r="W10" s="207">
        <v>8</v>
      </c>
      <c r="X10" s="63" t="s">
        <v>32</v>
      </c>
      <c r="Y10" s="511" t="s">
        <v>33</v>
      </c>
      <c r="Z10" s="512"/>
      <c r="AA10" s="184" t="s">
        <v>1</v>
      </c>
      <c r="AB10" s="184" t="s">
        <v>2</v>
      </c>
      <c r="AC10" s="184" t="s">
        <v>3</v>
      </c>
      <c r="AD10" s="220"/>
      <c r="AE10" s="222">
        <f>IF(S10+U10+W10=0,0,S10*365+U10*30+W10)</f>
        <v>673</v>
      </c>
      <c r="AF10" s="49"/>
      <c r="AG10" s="49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77"/>
      <c r="AY10" s="4"/>
      <c r="AZ10" s="4"/>
      <c r="BA10" s="4"/>
      <c r="BB10" s="4"/>
      <c r="BC10" s="5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/>
      <c r="BO10"/>
      <c r="BP10" s="78"/>
      <c r="BQ10" s="78"/>
      <c r="BR10" s="78"/>
      <c r="BS10" s="78"/>
      <c r="BT10" s="78"/>
      <c r="BU10" s="78"/>
      <c r="BV10" s="78"/>
      <c r="BW10" s="179"/>
      <c r="BX10" s="8"/>
      <c r="DG10" s="2" t="s">
        <v>90</v>
      </c>
      <c r="DH10" s="2" t="str">
        <f>IF(CI31="初任",DH8,DH7)</f>
        <v>.9.28</v>
      </c>
      <c r="DY10" s="8"/>
      <c r="DZ10" s="8"/>
      <c r="EA10" s="8"/>
      <c r="EB10" s="209"/>
      <c r="EC10" s="209"/>
      <c r="ED10" s="209"/>
      <c r="EE10" s="8"/>
      <c r="EF10" s="8"/>
      <c r="EG10" s="196"/>
      <c r="EH10" s="8"/>
      <c r="EI10" s="8"/>
      <c r="EJ10" s="8"/>
      <c r="EK10" s="78"/>
      <c r="EL10" s="8"/>
      <c r="EM10" s="8"/>
      <c r="EN10" s="314"/>
      <c r="EO10" s="30"/>
    </row>
    <row r="11" spans="1:147" s="29" customFormat="1" ht="9.75" customHeight="1" thickTop="1">
      <c r="A11" s="143"/>
      <c r="B11" s="14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8"/>
      <c r="AA11" s="38"/>
      <c r="AB11" s="38"/>
      <c r="AC11" s="38"/>
      <c r="AD11" s="38"/>
      <c r="AE11" s="223"/>
      <c r="AF11" s="26"/>
      <c r="AG11" s="26"/>
      <c r="AH11" s="26"/>
      <c r="AI11" s="26"/>
      <c r="AJ11" s="27"/>
      <c r="AK11" s="27"/>
      <c r="AL11" s="28"/>
      <c r="AM11" s="28"/>
      <c r="AN11" s="28"/>
      <c r="AO11" s="28"/>
      <c r="AP11" s="28"/>
      <c r="AQ11" s="28"/>
      <c r="AR11" s="28"/>
      <c r="AS11" s="28"/>
      <c r="AT11" s="28"/>
      <c r="AW11" s="30"/>
      <c r="AX11" s="31"/>
      <c r="AY11" s="32"/>
      <c r="AZ11" s="32"/>
      <c r="BA11" s="32"/>
      <c r="BB11" s="32"/>
      <c r="BC11" s="33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/>
      <c r="BO11"/>
      <c r="BP11" s="79"/>
      <c r="BQ11" s="79"/>
      <c r="BR11" s="79"/>
      <c r="BS11" s="79"/>
      <c r="BT11" s="79"/>
      <c r="BU11" s="79"/>
      <c r="BV11" s="79"/>
      <c r="BW11" s="179"/>
      <c r="BX11" s="34"/>
      <c r="BY11" s="20"/>
      <c r="BZ11" s="2"/>
      <c r="CA11" s="181"/>
      <c r="CB11" s="2"/>
      <c r="CC11" s="2"/>
      <c r="CD11" s="181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H11" s="2"/>
      <c r="DI11" s="2"/>
      <c r="DJ11" s="2"/>
      <c r="DK11" s="2"/>
      <c r="DL11" s="2"/>
      <c r="DM11" s="10"/>
      <c r="DV11" s="11"/>
      <c r="DW11" s="3"/>
      <c r="DX11" s="3"/>
      <c r="DY11" s="34"/>
      <c r="DZ11" s="34"/>
      <c r="EA11" s="34"/>
      <c r="EB11" s="210"/>
      <c r="EC11" s="210"/>
      <c r="ED11" s="210"/>
      <c r="EE11" s="34"/>
      <c r="EF11" s="34"/>
      <c r="EG11" s="197"/>
      <c r="EH11" s="34"/>
      <c r="EI11" s="34"/>
      <c r="EJ11" s="34"/>
      <c r="EK11" s="79"/>
      <c r="EL11" s="34"/>
      <c r="EM11" s="34"/>
      <c r="EN11" s="314"/>
      <c r="EO11" s="30"/>
      <c r="EP11" s="315"/>
      <c r="EQ11" s="315"/>
    </row>
    <row r="12" spans="1:147" s="29" customFormat="1" ht="6.75" customHeight="1">
      <c r="A12" s="143"/>
      <c r="B12" s="14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91"/>
      <c r="O12" s="491"/>
      <c r="P12" s="457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38"/>
      <c r="AE12" s="223"/>
      <c r="AF12" s="26"/>
      <c r="AG12" s="26"/>
      <c r="AH12" s="26"/>
      <c r="AI12" s="26"/>
      <c r="AJ12" s="27"/>
      <c r="AK12" s="27"/>
      <c r="AL12" s="28"/>
      <c r="AM12" s="28"/>
      <c r="AN12" s="28"/>
      <c r="AO12" s="28"/>
      <c r="AP12" s="28"/>
      <c r="AQ12" s="28"/>
      <c r="AR12" s="28"/>
      <c r="AS12" s="28"/>
      <c r="AT12" s="28"/>
      <c r="AW12" s="30"/>
      <c r="AX12" s="31"/>
      <c r="AY12" s="32"/>
      <c r="AZ12" s="32"/>
      <c r="BA12" s="32"/>
      <c r="BB12" s="32"/>
      <c r="BC12" s="33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/>
      <c r="BO12"/>
      <c r="BP12" s="79"/>
      <c r="BQ12" s="79"/>
      <c r="BR12" s="79"/>
      <c r="BS12" s="79"/>
      <c r="BT12" s="79"/>
      <c r="BU12" s="79"/>
      <c r="BV12" s="79"/>
      <c r="BW12" s="179"/>
      <c r="BX12" s="34"/>
      <c r="BY12" s="20"/>
      <c r="BZ12" s="2"/>
      <c r="CA12" s="181"/>
      <c r="CB12" s="2"/>
      <c r="CC12" s="2"/>
      <c r="CD12" s="181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10"/>
      <c r="DV12" s="11"/>
      <c r="DW12" s="3"/>
      <c r="DX12" s="3"/>
      <c r="DY12" s="34"/>
      <c r="DZ12" s="34"/>
      <c r="EA12" s="34"/>
      <c r="EB12" s="210"/>
      <c r="EC12" s="210"/>
      <c r="ED12" s="210"/>
      <c r="EE12" s="34"/>
      <c r="EF12" s="34"/>
      <c r="EG12" s="197"/>
      <c r="EH12" s="34"/>
      <c r="EI12" s="34"/>
      <c r="EJ12" s="34"/>
      <c r="EK12" s="79"/>
      <c r="EL12" s="34"/>
      <c r="EM12" s="34"/>
      <c r="EN12" s="314"/>
      <c r="EO12" s="30"/>
      <c r="EP12" s="315"/>
      <c r="EQ12" s="315"/>
    </row>
    <row r="13" spans="1:147" s="29" customFormat="1" ht="15" customHeight="1">
      <c r="A13" s="143"/>
      <c r="B13" s="14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70" t="s">
        <v>91</v>
      </c>
      <c r="O13" s="470"/>
      <c r="P13" s="448" t="s">
        <v>95</v>
      </c>
      <c r="Q13" s="480"/>
      <c r="R13" s="480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38"/>
      <c r="AE13" s="223"/>
      <c r="AF13" s="26"/>
      <c r="AG13" s="26"/>
      <c r="AH13" s="26"/>
      <c r="AI13" s="26"/>
      <c r="AJ13" s="27"/>
      <c r="AK13" s="27"/>
      <c r="AL13" s="28"/>
      <c r="AM13" s="28"/>
      <c r="AN13" s="28"/>
      <c r="AO13" s="28"/>
      <c r="AP13" s="28"/>
      <c r="AQ13" s="28"/>
      <c r="AR13" s="28"/>
      <c r="AS13" s="28"/>
      <c r="AT13" s="28"/>
      <c r="AW13" s="30"/>
      <c r="AX13" s="31"/>
      <c r="AY13" s="32"/>
      <c r="AZ13" s="32"/>
      <c r="BA13" s="32"/>
      <c r="BB13" s="32"/>
      <c r="BC13" s="33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/>
      <c r="BO13"/>
      <c r="BP13" s="79"/>
      <c r="BQ13" s="79"/>
      <c r="BR13" s="79"/>
      <c r="BS13" s="79"/>
      <c r="BT13" s="79"/>
      <c r="BU13" s="79"/>
      <c r="BV13" s="79"/>
      <c r="BW13" s="179"/>
      <c r="BX13" s="34"/>
      <c r="BY13" s="20"/>
      <c r="BZ13" s="2"/>
      <c r="CA13" s="181"/>
      <c r="CB13" s="2"/>
      <c r="CC13" s="2"/>
      <c r="CD13" s="181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10"/>
      <c r="DV13" s="11"/>
      <c r="DW13" s="3"/>
      <c r="DX13" s="3"/>
      <c r="DY13" s="34"/>
      <c r="DZ13" s="34"/>
      <c r="EA13" s="34"/>
      <c r="EB13" s="210"/>
      <c r="EC13" s="210"/>
      <c r="ED13" s="210"/>
      <c r="EE13" s="34"/>
      <c r="EF13" s="34"/>
      <c r="EG13" s="197"/>
      <c r="EH13" s="34"/>
      <c r="EI13" s="34"/>
      <c r="EJ13" s="34"/>
      <c r="EK13" s="79"/>
      <c r="EL13" s="34"/>
      <c r="EM13" s="34"/>
      <c r="EN13" s="314"/>
      <c r="EO13" s="30"/>
      <c r="EP13" s="315"/>
      <c r="EQ13" s="315"/>
    </row>
    <row r="14" spans="1:147" s="29" customFormat="1" ht="28.5" customHeight="1">
      <c r="A14" s="143"/>
      <c r="B14" s="14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6"/>
      <c r="O14" s="286"/>
      <c r="P14" s="471" t="str">
        <f>IF(OR(AND(S32&gt;=60,T32&gt;=15),AND(S32&gt;=65,T32&gt;=15),AND(S32&gt;=50,T32&gt;=25)),"您於107.6.30(含)以前，即已符合申請退休並擇領【全額月退休金】之條件，任何時候退休都不受新法延後起支年齡之影響，可忽略下表。",IF(AND(S31&gt;50,T31&gt;25,U31&gt;R31),"",IF(OR(S7&lt;1,S8&lt;1),"請輸入上方白色欄位資料",AW27)&amp;"。"))</f>
        <v>您將在下方推算結果，達到符合【年資≧25年&amp;年齡≧50歲】且【年資＋年齡≧當年法定指標數】之擇領全額月退休金條件。</v>
      </c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38"/>
      <c r="AE14" s="26"/>
      <c r="AF14" s="26"/>
      <c r="AG14" s="26"/>
      <c r="AH14" s="26"/>
      <c r="AI14" s="26"/>
      <c r="AJ14" s="27"/>
      <c r="AK14" s="27"/>
      <c r="AL14" s="28"/>
      <c r="AM14" s="28"/>
      <c r="AN14" s="28"/>
      <c r="AO14" s="28"/>
      <c r="AP14" s="28"/>
      <c r="AQ14" s="28"/>
      <c r="AR14" s="28"/>
      <c r="AS14" s="28"/>
      <c r="AT14" s="28"/>
      <c r="AW14" s="30"/>
      <c r="AX14" s="31"/>
      <c r="AY14" s="32"/>
      <c r="AZ14" s="32"/>
      <c r="BA14" s="32"/>
      <c r="BB14" s="32"/>
      <c r="BC14" s="33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/>
      <c r="BO14"/>
      <c r="BP14" s="79"/>
      <c r="BQ14" s="79"/>
      <c r="BR14" s="79"/>
      <c r="BS14" s="79"/>
      <c r="BT14" s="79"/>
      <c r="BU14" s="79"/>
      <c r="BV14" s="79"/>
      <c r="BW14" s="179"/>
      <c r="BX14" s="34"/>
      <c r="BY14" s="20"/>
      <c r="BZ14" s="2"/>
      <c r="CA14" s="181"/>
      <c r="CB14" s="2"/>
      <c r="CC14" s="2"/>
      <c r="CD14" s="181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103"/>
      <c r="DI14" s="2"/>
      <c r="DJ14" s="2"/>
      <c r="DK14" s="2"/>
      <c r="DL14" s="2"/>
      <c r="DM14" s="205"/>
      <c r="DV14" s="11"/>
      <c r="DW14" s="3"/>
      <c r="DX14" s="3"/>
      <c r="DY14" s="34"/>
      <c r="DZ14" s="34"/>
      <c r="EA14" s="34"/>
      <c r="EB14" s="210"/>
      <c r="EC14" s="210"/>
      <c r="ED14" s="210"/>
      <c r="EE14" s="34"/>
      <c r="EF14" s="34"/>
      <c r="EG14" s="197"/>
      <c r="EH14" s="34"/>
      <c r="EI14" s="34"/>
      <c r="EJ14" s="34"/>
      <c r="EK14" s="79"/>
      <c r="EL14" s="34"/>
      <c r="EM14" s="34"/>
      <c r="EN14" s="314"/>
      <c r="EO14" s="30"/>
      <c r="EP14" s="315"/>
      <c r="EQ14" s="315"/>
    </row>
    <row r="15" spans="1:147" s="29" customFormat="1" ht="49.5" customHeight="1">
      <c r="A15" s="143"/>
      <c r="B15" s="14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87"/>
      <c r="O15" s="287"/>
      <c r="P15" s="475" t="str">
        <f>IF(OR(AND(S32&gt;=60,T32&gt;=15),AND(S32&gt;=65,T32&gt;=15),AND(S32&gt;=50,T32&gt;=25)),"",IF(OR(AND(S32&gt;=60,T32&gt;=15),AND(S32&gt;=65,T32&gt;=15),AND(S32&gt;=50,T32&gt;=25)),"◎推算結果：茲經推算，您最早符合申請退休並可擇領【全額月退休金】之日期為"&amp;ET27,IF(AND(DO2&lt;=121,DN2&gt;=122),AF152,IF(AND(DO2&lt;=115,DN2&gt;=116,DP2&lt;=55),AI152,IF(AND(DO5&lt;=DATE(2018,2,1),DO5&gt;DATE(2017,8,1)),"◎推算結果：茲經推算，您實際可申請退休並擇領【全額月退休金】之最早生效日期應為：107.2.1。【說明：原實際條件成就之日期為"&amp;DN5&amp;"，惟因須配合學期，而必須延至本學期結束之次日，始能退休生效，爰推算為"&amp;"107.2.1】",IF(AND(AH131&gt;=2,AH131&lt;=16,X130&lt;DATE(AH132+1911,8,1)),"◎推算結果：茲經推算，您實際可申請退休並擇領【全額月退休金】之最早生效日期應為："&amp;AH155,"◎推算結果：茲經推算，您實際可申請退休並擇領【全額月退休金】之最早生效日期應為："&amp;Z5))))))</f>
        <v>◎推算結果：茲經推算，您實際可申請退休並擇領【全額月退休金】之最早生效日期應為：116.8.1。【說明：原實際條件成就之日期為115.9.28，惟因須配合學期暨受次年度指標數增加或過渡期結束之影響，而必須二次遞延至當學年度結束之次日，始能退休生效，爰推算為116.8.1】。</v>
      </c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38"/>
      <c r="AE15" s="26"/>
      <c r="AF15" s="26"/>
      <c r="AG15" s="26"/>
      <c r="AH15" s="26"/>
      <c r="AI15" s="26"/>
      <c r="AJ15" s="27"/>
      <c r="AK15" s="27"/>
      <c r="AL15" s="28"/>
      <c r="AM15" s="28"/>
      <c r="AN15" s="28"/>
      <c r="AO15" s="28"/>
      <c r="AP15" s="28"/>
      <c r="AQ15" s="28"/>
      <c r="AR15" s="28"/>
      <c r="AS15" s="28"/>
      <c r="AT15" s="28"/>
      <c r="AW15" s="30"/>
      <c r="AX15" s="31"/>
      <c r="AY15" s="32"/>
      <c r="AZ15" s="32"/>
      <c r="BA15" s="32"/>
      <c r="BB15" s="32"/>
      <c r="BC15" s="33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/>
      <c r="BO15"/>
      <c r="BP15" s="79"/>
      <c r="BQ15" s="79"/>
      <c r="BR15" s="79"/>
      <c r="BS15" s="79"/>
      <c r="BT15" s="79"/>
      <c r="BU15" s="79"/>
      <c r="BV15" s="79"/>
      <c r="BW15" s="179"/>
      <c r="BX15" s="34"/>
      <c r="BY15" s="20"/>
      <c r="BZ15" s="2"/>
      <c r="CA15" s="181"/>
      <c r="CB15" s="2"/>
      <c r="CC15" s="2"/>
      <c r="CD15" s="181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10"/>
      <c r="DV15" s="11"/>
      <c r="DW15" s="3"/>
      <c r="DX15" s="3"/>
      <c r="DY15" s="34"/>
      <c r="DZ15" s="34"/>
      <c r="EA15" s="34"/>
      <c r="EB15" s="210"/>
      <c r="EC15" s="210"/>
      <c r="ED15" s="210"/>
      <c r="EE15" s="34"/>
      <c r="EF15" s="34"/>
      <c r="EG15" s="197"/>
      <c r="EH15" s="34"/>
      <c r="EI15" s="34"/>
      <c r="EJ15" s="34"/>
      <c r="EK15" s="79"/>
      <c r="EL15" s="34"/>
      <c r="EM15" s="34"/>
      <c r="EN15" s="314"/>
      <c r="EO15" s="30"/>
      <c r="EP15" s="315"/>
      <c r="EQ15" s="315"/>
    </row>
    <row r="16" spans="1:147" s="29" customFormat="1" ht="20.25" customHeight="1" thickBot="1">
      <c r="A16" s="143"/>
      <c r="B16" s="14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70" t="s">
        <v>91</v>
      </c>
      <c r="O16" s="470"/>
      <c r="P16" s="473" t="s">
        <v>117</v>
      </c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38"/>
      <c r="AE16" s="26"/>
      <c r="AF16" s="26"/>
      <c r="AG16" s="26"/>
      <c r="AH16" s="26"/>
      <c r="AI16" s="26"/>
      <c r="AJ16" s="27"/>
      <c r="AK16" s="27"/>
      <c r="AL16" s="28"/>
      <c r="AM16" s="28"/>
      <c r="AN16" s="28"/>
      <c r="AO16" s="28"/>
      <c r="AP16" s="28"/>
      <c r="AQ16" s="28"/>
      <c r="AR16" s="28"/>
      <c r="AS16" s="28"/>
      <c r="AT16" s="28"/>
      <c r="AW16" s="30"/>
      <c r="AX16" s="31"/>
      <c r="AY16" s="32"/>
      <c r="AZ16" s="32"/>
      <c r="BA16" s="32"/>
      <c r="BB16" s="32"/>
      <c r="BC16" s="33"/>
      <c r="BD16" s="192"/>
      <c r="BE16" s="192"/>
      <c r="BF16" s="192"/>
      <c r="BG16" s="192"/>
      <c r="BH16" s="186"/>
      <c r="BI16" s="186"/>
      <c r="BJ16" s="186"/>
      <c r="BK16" s="186"/>
      <c r="BL16" s="186"/>
      <c r="BM16" s="186"/>
      <c r="BN16"/>
      <c r="BO16"/>
      <c r="BP16" s="79"/>
      <c r="BQ16" s="79"/>
      <c r="BR16" s="79"/>
      <c r="BS16" s="79"/>
      <c r="BT16" s="79"/>
      <c r="BU16" s="79"/>
      <c r="BV16" s="79"/>
      <c r="BW16" s="179"/>
      <c r="BX16" s="34"/>
      <c r="BY16" s="20"/>
      <c r="BZ16" s="2"/>
      <c r="CA16" s="181"/>
      <c r="CB16" s="2"/>
      <c r="CC16" s="2"/>
      <c r="CD16" s="181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324" t="str">
        <f>CONCATENATE(CO17,CO18)</f>
        <v>115.9.28</v>
      </c>
      <c r="CP16" s="2"/>
      <c r="CQ16" s="2"/>
      <c r="CR16" s="2"/>
      <c r="CS16" s="2"/>
      <c r="CT16" s="324">
        <f>CONCATENATE(CT17,CT18)</f>
      </c>
      <c r="CU16" s="2"/>
      <c r="CV16" s="2"/>
      <c r="CW16" s="324">
        <f>IF(CM18=0,"",INDEX(CW31:CW114,CM18))</f>
      </c>
      <c r="CX16" s="2"/>
      <c r="CY16" s="2"/>
      <c r="CZ16" s="2"/>
      <c r="DA16" s="324">
        <f>CONCATENATE(DA17,DA18)</f>
      </c>
      <c r="DB16" s="2"/>
      <c r="DC16" s="2"/>
      <c r="DD16" s="324">
        <f>CONCATENATE(DD17,DD18)</f>
      </c>
      <c r="DE16" s="2"/>
      <c r="DF16" s="2"/>
      <c r="DG16" s="103"/>
      <c r="DH16" s="332"/>
      <c r="DI16" s="2"/>
      <c r="DJ16" s="324">
        <f>CONCATENATE(DJ17,DJ18)</f>
      </c>
      <c r="DK16" s="2"/>
      <c r="DL16" s="2"/>
      <c r="DM16" s="333" t="str">
        <f>IF(MIN(CS20,CV20,CY20,DA20,DD20,DJ20)=CS20,CO16,IF(MIN(CS20,CV20,CY20,DA20,DD20,DJ20)=CV20,CT16,IF(MIN(CS20,CV20,CY20,DA20,DD20,DJ20)=CY20,CW16,IF(MIN(CS20,CV20,CY20,DA20,DD20,DJ20)=DA20,DA16,IF(MIN(CS20,CV20,CY20,DA20,DD20,DJ20)=DD20,DD16,IF(MIN(CS20,CV20,CY20,DA20,DD20,DJ20)=DJ20,DJ16))))))</f>
        <v>115.9.28</v>
      </c>
      <c r="DV16" s="11"/>
      <c r="DW16" s="3"/>
      <c r="DX16" s="3"/>
      <c r="DY16" s="34"/>
      <c r="DZ16" s="34"/>
      <c r="EA16" s="34"/>
      <c r="EB16" s="210"/>
      <c r="EC16" s="210"/>
      <c r="ED16" s="210"/>
      <c r="EE16" s="34"/>
      <c r="EF16" s="34"/>
      <c r="EG16" s="197"/>
      <c r="EH16" s="34"/>
      <c r="EI16" s="34"/>
      <c r="EJ16" s="34"/>
      <c r="EK16" s="79"/>
      <c r="EL16" s="34"/>
      <c r="EM16" s="34"/>
      <c r="EN16" s="314"/>
      <c r="EO16" s="30"/>
      <c r="EP16" s="315"/>
      <c r="EQ16" s="315"/>
    </row>
    <row r="17" spans="1:147" s="29" customFormat="1" ht="15.75" customHeight="1" thickBot="1" thickTop="1">
      <c r="A17" s="143"/>
      <c r="B17" s="14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86"/>
      <c r="O17" s="356" t="s">
        <v>74</v>
      </c>
      <c r="P17" s="448" t="str">
        <f>"展期月退休金"&amp;AG151&amp;"："</f>
        <v>展期月退休金(58歲)：</v>
      </c>
      <c r="Q17" s="521"/>
      <c r="R17" s="521"/>
      <c r="S17" s="521"/>
      <c r="T17" s="450">
        <f>IF(AG169="","【無符合年度】",IF(AG169=1,"【最早符合時間 ( "&amp;AG168&amp;"  ) ，與上述可支領全額月退休金之日期相同或較後，無申請必要】",""))</f>
      </c>
      <c r="U17" s="450"/>
      <c r="V17" s="450"/>
      <c r="W17" s="450"/>
      <c r="X17" s="450"/>
      <c r="Y17" s="450"/>
      <c r="Z17" s="583"/>
      <c r="AA17" s="584"/>
      <c r="AB17" s="584"/>
      <c r="AC17" s="584"/>
      <c r="AD17" s="38"/>
      <c r="AE17" s="26"/>
      <c r="AF17" s="26"/>
      <c r="AG17" s="26"/>
      <c r="AH17" s="26"/>
      <c r="AI17" s="26"/>
      <c r="AJ17" s="27"/>
      <c r="AK17" s="27"/>
      <c r="AL17" s="28"/>
      <c r="AM17" s="28"/>
      <c r="AN17" s="28"/>
      <c r="AO17" s="28"/>
      <c r="AP17" s="28"/>
      <c r="AQ17" s="28"/>
      <c r="AR17" s="28"/>
      <c r="AS17" s="28"/>
      <c r="AT17" s="28"/>
      <c r="AW17" s="30"/>
      <c r="AX17" s="31"/>
      <c r="AY17" s="32"/>
      <c r="AZ17" s="32"/>
      <c r="BA17" s="32"/>
      <c r="BB17" s="32"/>
      <c r="BC17" s="33"/>
      <c r="BD17" s="193"/>
      <c r="BE17" s="194"/>
      <c r="BF17" s="194"/>
      <c r="BG17" s="194"/>
      <c r="BH17" s="194"/>
      <c r="BI17" s="194"/>
      <c r="BJ17" s="194"/>
      <c r="BK17" s="193"/>
      <c r="BL17" s="193"/>
      <c r="BM17" s="193"/>
      <c r="BN17"/>
      <c r="BO17"/>
      <c r="BP17" s="79"/>
      <c r="BQ17" s="79"/>
      <c r="BR17" s="79"/>
      <c r="BS17" s="79"/>
      <c r="BT17" s="79"/>
      <c r="BU17" s="79"/>
      <c r="BV17" s="79"/>
      <c r="BW17" s="179"/>
      <c r="BX17" s="34"/>
      <c r="BY17" s="20"/>
      <c r="BZ17" s="2"/>
      <c r="CA17" s="181"/>
      <c r="CB17" s="2"/>
      <c r="CC17" s="2"/>
      <c r="CD17" s="181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324" t="str">
        <f>CONCATENATE(CO31,CO32,CO33,CO34,CO35,CO36,CO37,CO38,CO39,CO40,CO41,CO42,CO43,CO44,CO45,CO46)</f>
        <v>115.9.28</v>
      </c>
      <c r="CP17" s="2"/>
      <c r="CQ17" s="2"/>
      <c r="CR17" s="2"/>
      <c r="CS17" s="2"/>
      <c r="CT17" s="324">
        <f>CONCATENATE(CT31,CT32,CT33,CT34,CT35,CT36,CT37,CT38,CT39,CT40,CT41,CT42,CT43,CT44,CT45,CT46)</f>
      </c>
      <c r="CU17" s="2"/>
      <c r="CV17" s="2"/>
      <c r="CW17" s="324"/>
      <c r="CX17" s="2"/>
      <c r="CY17" s="2"/>
      <c r="CZ17" s="2"/>
      <c r="DA17" s="324">
        <f>CONCATENATE(DA31,DA32,DA33,DA34,DA35,DA36,DA37,DA38,DA39,DA40,DA41,DA42,DA43,DA44,DA45,DA46)</f>
      </c>
      <c r="DB17" s="2"/>
      <c r="DC17" s="2"/>
      <c r="DD17" s="324">
        <f>CONCATENATE(DD31,DD32,DD33,DD34,DD35,DD36,DD37,DD38,DD39,DD40,DD41,DD42,DD43,DD44,DD45,DD46)</f>
      </c>
      <c r="DE17" s="2"/>
      <c r="DF17" s="2"/>
      <c r="DG17" s="103"/>
      <c r="DH17" s="332"/>
      <c r="DI17" s="2"/>
      <c r="DJ17" s="324">
        <f>CONCATENATE(DJ31,DJ32,DJ33,DJ34,DJ35,DJ36,DJ37,DJ38,DJ39,DJ40,DJ41,DJ42,DJ43,DJ44,DJ45,DJ46)</f>
      </c>
      <c r="DK17" s="2"/>
      <c r="DL17" s="2"/>
      <c r="DM17" s="10"/>
      <c r="DV17" s="11"/>
      <c r="DW17" s="3"/>
      <c r="DX17" s="3"/>
      <c r="DY17" s="34"/>
      <c r="DZ17" s="34"/>
      <c r="EA17" s="34"/>
      <c r="EB17" s="210"/>
      <c r="EC17" s="210"/>
      <c r="ED17" s="210"/>
      <c r="EE17" s="34"/>
      <c r="EF17" s="34"/>
      <c r="EG17" s="197"/>
      <c r="EH17" s="34"/>
      <c r="EI17" s="34"/>
      <c r="EJ17" s="34"/>
      <c r="EK17" s="79"/>
      <c r="EL17" s="34"/>
      <c r="EM17" s="34"/>
      <c r="EN17" s="314"/>
      <c r="EO17" s="30"/>
      <c r="EP17" s="315"/>
      <c r="EQ17" s="315"/>
    </row>
    <row r="18" spans="1:147" s="29" customFormat="1" ht="15.75" customHeight="1" thickBot="1" thickTop="1">
      <c r="A18" s="143"/>
      <c r="B18" s="14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86"/>
      <c r="O18" s="288"/>
      <c r="P18" s="289" t="str">
        <f>IF(AB169="","註：",IF(AB169=1,"註：","１."))</f>
        <v>１.</v>
      </c>
      <c r="Q18" s="475" t="s">
        <v>144</v>
      </c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38"/>
      <c r="AE18" s="26"/>
      <c r="AF18" s="26"/>
      <c r="AG18" s="26"/>
      <c r="AH18" s="26"/>
      <c r="AI18" s="26"/>
      <c r="AJ18" s="27"/>
      <c r="AK18" s="27"/>
      <c r="AL18" s="28"/>
      <c r="AM18" s="28"/>
      <c r="AN18" s="28"/>
      <c r="AO18" s="28"/>
      <c r="AP18" s="28"/>
      <c r="AQ18" s="28"/>
      <c r="AR18" s="28"/>
      <c r="AS18" s="28"/>
      <c r="AT18" s="28"/>
      <c r="AW18" s="30"/>
      <c r="AX18" s="31"/>
      <c r="AY18" s="32"/>
      <c r="AZ18" s="32"/>
      <c r="BA18" s="32"/>
      <c r="BB18" s="32"/>
      <c r="BC18" s="33"/>
      <c r="BD18" s="193"/>
      <c r="BE18" s="195"/>
      <c r="BF18" s="195"/>
      <c r="BG18" s="195"/>
      <c r="BH18" s="195"/>
      <c r="BI18" s="195"/>
      <c r="BJ18" s="195"/>
      <c r="BK18" s="193"/>
      <c r="BL18" s="193"/>
      <c r="BM18" s="193"/>
      <c r="BN18"/>
      <c r="BO18"/>
      <c r="BP18" s="79"/>
      <c r="BQ18" s="79"/>
      <c r="BR18" s="79"/>
      <c r="BS18" s="79"/>
      <c r="BT18" s="79"/>
      <c r="BU18" s="79"/>
      <c r="BV18" s="79"/>
      <c r="BW18" s="179"/>
      <c r="BX18" s="34"/>
      <c r="BY18" s="20"/>
      <c r="BZ18" s="2"/>
      <c r="CA18" s="181"/>
      <c r="CB18" s="2"/>
      <c r="CC18" s="2"/>
      <c r="CD18" s="181"/>
      <c r="CE18" s="2"/>
      <c r="CF18" s="2"/>
      <c r="CG18" s="2"/>
      <c r="CH18" s="2"/>
      <c r="CI18" s="2"/>
      <c r="CJ18" s="2"/>
      <c r="CK18" s="2"/>
      <c r="CL18" s="2"/>
      <c r="CM18" s="343">
        <f>CM19+CM20</f>
        <v>11</v>
      </c>
      <c r="CN18" s="2"/>
      <c r="CO18" s="324">
        <f>CONCATENATE(CO47,CO48,CO49,CO50,CO51,CO52,CO53,CO54,CO55,CO56,CO57,CO58,CO59,CO60,CO61,CO62,CO63,CO64,CO65,CO66)</f>
      </c>
      <c r="CP18" s="2"/>
      <c r="CQ18" s="2"/>
      <c r="CR18" s="2"/>
      <c r="CS18" s="2"/>
      <c r="CT18" s="324">
        <f>CONCATENATE(CT47,CT48,CT49,CT50,CT51,CT52,CT53,CT54,CT55,CT56,CT57,CT58,CT59,CT60,CT61,CT62,CT63,CT64,CT65,CT66)</f>
      </c>
      <c r="CU18" s="2"/>
      <c r="CV18" s="2"/>
      <c r="CW18" s="324"/>
      <c r="CX18" s="2"/>
      <c r="CY18" s="2"/>
      <c r="CZ18" s="2"/>
      <c r="DA18" s="324">
        <f>CONCATENATE(DA47,DA48,DA49,DA50,DA51,DA52,DA53,DA54,DA55,DA56,DA57,DA58,DA59,DA60,DA61,DA62,DA63,DA64,DA65,DA66)</f>
      </c>
      <c r="DB18" s="2"/>
      <c r="DC18" s="2"/>
      <c r="DD18" s="324">
        <f>CONCATENATE(DD47,DD48,DD49,DD50,DD51,DD52,DD53,DD54,DD55,DD56,DD57,DD58,DD59,DD60,DD61,DD62,DD63,DD64,DD65,DD66)</f>
      </c>
      <c r="DE18" s="2"/>
      <c r="DF18" s="2"/>
      <c r="DG18" s="103"/>
      <c r="DH18" s="332"/>
      <c r="DI18" s="2"/>
      <c r="DJ18" s="324">
        <f>CONCATENATE(DJ47,DJ48,DJ49,DJ50,DJ51,DJ52,DJ53,DJ54,DJ55,DJ56,DJ57,DJ58,DJ59,DJ60,DJ61,DJ62,DJ63,DJ64,DJ65,DJ66)</f>
      </c>
      <c r="DK18" s="2"/>
      <c r="DL18" s="2"/>
      <c r="DM18" s="10"/>
      <c r="DV18" s="11"/>
      <c r="DW18" s="3"/>
      <c r="DX18" s="3"/>
      <c r="DY18" s="34"/>
      <c r="DZ18" s="34"/>
      <c r="EA18" s="34"/>
      <c r="EB18" s="210"/>
      <c r="EC18" s="210"/>
      <c r="ED18" s="210"/>
      <c r="EE18" s="34"/>
      <c r="EF18" s="34"/>
      <c r="EG18" s="197"/>
      <c r="EH18" s="34"/>
      <c r="EI18" s="34"/>
      <c r="EJ18" s="34"/>
      <c r="EK18" s="79"/>
      <c r="EL18" s="34"/>
      <c r="EM18" s="34"/>
      <c r="EN18" s="314"/>
      <c r="EO18" s="30"/>
      <c r="EP18" s="315"/>
      <c r="EQ18" s="315"/>
    </row>
    <row r="19" spans="1:147" s="29" customFormat="1" ht="23.25" customHeight="1" thickBot="1" thickTop="1">
      <c r="A19" s="143"/>
      <c r="B19" s="14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86"/>
      <c r="O19" s="288"/>
      <c r="P19" s="289" t="str">
        <f>IF(AB169="","",IF(AB169=1,"","２."))</f>
        <v>２.</v>
      </c>
      <c r="Q19" s="475" t="str">
        <f>IF(AG169="","",IF(AG169=1,"","可申請本項退休之最早日期為："&amp;AG168&amp;" 。（原實際成就條件時間為"&amp;AG165&amp;"）"))</f>
        <v>可申請本項退休之最早日期為：114.2.1 。（原實際成就條件時間為113.9.28）</v>
      </c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357"/>
      <c r="AC19" s="288"/>
      <c r="AD19" s="38"/>
      <c r="AE19" s="26"/>
      <c r="AF19" s="26"/>
      <c r="AG19" s="26"/>
      <c r="AH19" s="26"/>
      <c r="AI19" s="26"/>
      <c r="AJ19" s="27"/>
      <c r="AK19" s="27"/>
      <c r="AL19" s="28"/>
      <c r="AM19" s="28"/>
      <c r="AN19" s="28"/>
      <c r="AO19" s="28"/>
      <c r="AP19" s="28"/>
      <c r="AQ19" s="28"/>
      <c r="AR19" s="28"/>
      <c r="AS19" s="28"/>
      <c r="AT19" s="28"/>
      <c r="AW19" s="30"/>
      <c r="AX19" s="31"/>
      <c r="AY19" s="32"/>
      <c r="AZ19" s="32"/>
      <c r="BA19" s="32"/>
      <c r="BB19" s="32"/>
      <c r="BC19" s="33"/>
      <c r="BD19" s="193"/>
      <c r="BE19" s="195"/>
      <c r="BF19" s="195"/>
      <c r="BG19" s="195"/>
      <c r="BH19" s="195"/>
      <c r="BI19" s="195"/>
      <c r="BJ19" s="195"/>
      <c r="BK19" s="193"/>
      <c r="BL19" s="193"/>
      <c r="BM19" s="193"/>
      <c r="BN19"/>
      <c r="BO19"/>
      <c r="BP19" s="79"/>
      <c r="BQ19" s="79"/>
      <c r="BR19" s="79"/>
      <c r="BS19" s="79"/>
      <c r="BT19" s="79"/>
      <c r="BU19" s="79"/>
      <c r="BV19" s="79"/>
      <c r="BW19" s="179"/>
      <c r="BX19" s="34"/>
      <c r="BY19" s="20"/>
      <c r="BZ19" s="2"/>
      <c r="CA19" s="181"/>
      <c r="CB19" s="2"/>
      <c r="CC19" s="2"/>
      <c r="CD19" s="181"/>
      <c r="CE19" s="2"/>
      <c r="CF19" s="2"/>
      <c r="CG19" s="2"/>
      <c r="CH19" s="2"/>
      <c r="CI19" s="2"/>
      <c r="CJ19" s="2"/>
      <c r="CK19" s="2"/>
      <c r="CL19" s="2"/>
      <c r="CM19" s="343">
        <f>IF(ISERROR(MATCH(5875,CM31:CM114,0))=TRUE,0,VALUE(MATCH(5875,CM31:CM114,0)))</f>
        <v>0</v>
      </c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344">
        <f>CONCATENATE(DB21,DB22)</f>
      </c>
      <c r="DC19" s="2"/>
      <c r="DD19" s="2"/>
      <c r="DE19" s="344">
        <f>CONCATENATE(DE21,DE22)</f>
      </c>
      <c r="DF19" s="2"/>
      <c r="DG19" s="2"/>
      <c r="DH19" s="2"/>
      <c r="DI19" s="2"/>
      <c r="DJ19" s="2"/>
      <c r="DK19" s="344">
        <f>CONCATENATE(DK21,DK22)</f>
      </c>
      <c r="DL19" s="2"/>
      <c r="DM19" s="10"/>
      <c r="DV19" s="11"/>
      <c r="DW19" s="3"/>
      <c r="DX19" s="3"/>
      <c r="DY19" s="34"/>
      <c r="DZ19" s="34"/>
      <c r="EA19" s="34"/>
      <c r="EB19" s="210"/>
      <c r="EC19" s="210"/>
      <c r="ED19" s="210"/>
      <c r="EE19" s="34"/>
      <c r="EF19" s="34"/>
      <c r="EG19" s="197"/>
      <c r="EH19" s="34"/>
      <c r="EI19" s="34"/>
      <c r="EJ19" s="34"/>
      <c r="EK19" s="79"/>
      <c r="EL19" s="34"/>
      <c r="EM19" s="34"/>
      <c r="EN19" s="314"/>
      <c r="EO19" s="30"/>
      <c r="EP19" s="315"/>
      <c r="EQ19" s="315"/>
    </row>
    <row r="20" spans="1:147" s="29" customFormat="1" ht="16.5" customHeight="1" thickBot="1" thickTop="1">
      <c r="A20" s="143"/>
      <c r="B20" s="14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86"/>
      <c r="O20" s="356" t="s">
        <v>74</v>
      </c>
      <c r="P20" s="448" t="s">
        <v>96</v>
      </c>
      <c r="Q20" s="449"/>
      <c r="R20" s="449"/>
      <c r="S20" s="449"/>
      <c r="T20" s="450">
        <f>IF(AC150="","【無符合年度】",IF(AC150=1,"【最早符合時間 ( "&amp;AC149&amp;" ) ，與上述可支領全額月退休金之日期相同或較後，無申請必要】",""))</f>
      </c>
      <c r="U20" s="450"/>
      <c r="V20" s="450"/>
      <c r="W20" s="450"/>
      <c r="X20" s="450"/>
      <c r="Y20" s="450"/>
      <c r="Z20" s="450"/>
      <c r="AA20" s="584"/>
      <c r="AB20" s="584"/>
      <c r="AC20" s="584"/>
      <c r="AD20" s="38"/>
      <c r="AE20" s="26"/>
      <c r="AF20" s="26"/>
      <c r="AG20" s="26"/>
      <c r="AH20" s="26"/>
      <c r="AI20" s="26"/>
      <c r="AJ20" s="27"/>
      <c r="AK20" s="27"/>
      <c r="AL20" s="28"/>
      <c r="AM20" s="28"/>
      <c r="AN20" s="28"/>
      <c r="AO20" s="28"/>
      <c r="AP20" s="28"/>
      <c r="AQ20" s="28"/>
      <c r="AR20" s="28"/>
      <c r="AS20" s="28"/>
      <c r="AT20" s="28"/>
      <c r="AW20" s="30"/>
      <c r="AX20" s="31"/>
      <c r="AY20" s="32"/>
      <c r="AZ20" s="32"/>
      <c r="BA20" s="32"/>
      <c r="BB20" s="32"/>
      <c r="BC20" s="33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/>
      <c r="BO20"/>
      <c r="BP20" s="79"/>
      <c r="BQ20" s="79"/>
      <c r="BR20" s="79"/>
      <c r="BS20" s="79"/>
      <c r="BT20" s="79"/>
      <c r="BU20" s="79"/>
      <c r="BV20" s="79"/>
      <c r="BW20" s="179"/>
      <c r="BX20" s="34"/>
      <c r="BY20" s="20"/>
      <c r="BZ20" s="2"/>
      <c r="CA20" s="181"/>
      <c r="CB20" s="2"/>
      <c r="CC20" s="2"/>
      <c r="CD20" s="181"/>
      <c r="CE20" s="2"/>
      <c r="CF20" s="2"/>
      <c r="CG20" s="2"/>
      <c r="CH20" s="2"/>
      <c r="CI20" s="2"/>
      <c r="CJ20" s="2"/>
      <c r="CK20" s="2"/>
      <c r="CL20" s="2"/>
      <c r="CM20" s="343">
        <f>IF(ISERROR(MATCH(75,CM31:CM114,0))=TRUE,0,VALUE(MATCH(75,CM31:CM114,0)))</f>
        <v>11</v>
      </c>
      <c r="CN20" s="2"/>
      <c r="CO20" s="2"/>
      <c r="CP20" s="2"/>
      <c r="CQ20" s="2"/>
      <c r="CR20" s="2"/>
      <c r="CS20" s="327">
        <f>IF(LEFT(CT20,3)&amp;"."&amp;$U$7&amp;"."&amp;$W$7=CT20,DATE(LEFT(CT20,3)+1911,$U$7,$W$7),IF(LEFT(CT20,3)&amp;"."&amp;$AB$9&amp;"."&amp;$AC$9=CT20,DATE(LEFT(CT20,3)+1911,$AB$9,$AC$9),IF(LEFT(CT20,3)&amp;".1.1"=CT20,DATE(LEFT(CT20,3)+1911,1,1),IF(LEFT(CT20,3)&amp;".2.1"=CT20,DATE(LEFT(CT20,3)+1911,2,1),IF(LEFT(CT20,3)&amp;".8.1"=CT20,DATE(LEFT(CT20,3)+1911,8,1),"")))))</f>
        <v>46600</v>
      </c>
      <c r="CT20" s="324" t="str">
        <f>LEFT(CONCATENATE(CS21,CS22),7)</f>
        <v>116.8.1</v>
      </c>
      <c r="CU20" s="2"/>
      <c r="CV20" s="327">
        <f>IF(LEFT(CW20,3)&amp;"."&amp;$U$7&amp;"."&amp;$W$7=CW20,DATE(LEFT(CW20,3)+1911,$U$7,$W$7),IF(LEFT(CW20,3)&amp;"."&amp;$AB$9&amp;"."&amp;$AC$9=CW20,DATE(LEFT(CW20,3)+1911,$AB$9,$AC$9),IF(LEFT(CW20,3)&amp;".1.1"=CW20,DATE(LEFT(CW20,3)+1911,1,1),IF(LEFT(CW20,3)&amp;".2.1"=CW20,DATE(LEFT(CW20,3)+1911,2,1),IF(LEFT(CW20,3)&amp;".8.1"=CW20,DATE(LEFT(CW20,3)+1911,8,1),"")))))</f>
      </c>
      <c r="CW20" s="324">
        <f>LEFT(CONCATENATE(CV21,CV22),7)</f>
      </c>
      <c r="CX20" s="2"/>
      <c r="CY20" s="327">
        <f>IF(LEFT(CZ20,3)&amp;"."&amp;$U$7&amp;"."&amp;$W$7=CZ20,DATE(LEFT(CZ20,3)+1911,$U$7,$W$7),IF(LEFT(CZ20,3)&amp;"."&amp;$AB$9&amp;"."&amp;$AC$9=CZ20,DATE(LEFT(CZ20,3)+1911,$AB$9,$AC$9),IF(LEFT(CZ20,3)&amp;".1.1"=CZ20,DATE(LEFT(CZ20,3)+1911,1,1),IF(LEFT(CZ20,3)&amp;".2.1"=CZ20,DATE(LEFT(CZ20,3)+1911,2,1),IF(LEFT(CZ20,3)&amp;".8.1"=CZ20,DATE(LEFT(CZ20,3)+1911,8,1),"")))))</f>
      </c>
      <c r="CZ20" s="328">
        <f>LEFT(CZ21,7)</f>
      </c>
      <c r="DA20" s="327">
        <f>IF(LEFT(DB20,3)&amp;"."&amp;$U$7&amp;"."&amp;$W$7=DB20,DATE(LEFT(DB20,3)+1911,$U$7,$W$7),IF(LEFT(DB20,3)&amp;"."&amp;$AB$9&amp;"."&amp;$AC$9=DB20,DATE(LEFT(DB20,3)+1911,$AB$9,$AC$9),IF(LEFT(DB20,3)&amp;".1.1"=DB20,DATE(LEFT(DB20,3)+1911,1,1),IF(LEFT(DB20,3)&amp;".2.1"=DB20,DATE(LEFT(DB20,3)+1911,2,1),IF(LEFT(DB20,3)&amp;".8.1"=DB20,DATE(LEFT(DB20,3)+1911,8,1),"")))))</f>
      </c>
      <c r="DB20" s="324">
        <f>LEFT(CONCATENATE(DB21,DB22),7)</f>
      </c>
      <c r="DC20" s="2"/>
      <c r="DD20" s="327">
        <f>IF(LEFT(DE20,3)&amp;"."&amp;$U$7&amp;"."&amp;$W$7=DE20,DATE(LEFT(DE20,3)+1911,$U$7,$W$7),IF(LEFT(DE20,3)&amp;"."&amp;$AB$9&amp;"."&amp;$AC$9=DE20,DATE(LEFT(DE20,3)+1911,$AB$9,$AC$9),IF(LEFT(DE20,3)&amp;".1.1"=DE20,DATE(LEFT(DE20,3)+1911,1,1),IF(LEFT(DE20,3)&amp;".2.1"=DE20,DATE(LEFT(DE20,3)+1911,2,1),IF(LEFT(DE20,3)&amp;".8.1"=DE20,DATE(LEFT(DE20,3)+1911,8,1),"")))))</f>
      </c>
      <c r="DE20" s="324">
        <f>LEFT(CONCATENATE(DE21,DE22),7)</f>
      </c>
      <c r="DF20" s="2"/>
      <c r="DG20" s="325">
        <f>IF(LEFT(DG21,3)&amp;"."&amp;$U$7&amp;"."&amp;$W$7=DG21,DATE(LEFT(DG21,3)+1911,$U$7,$W$7),IF(LEFT(DG21,3)&amp;"."&amp;$AB$9&amp;"."&amp;$AC$9=DG21,DATE(LEFT(DG21,3)+1911,$AB$9,$AC$9),IF(LEFT(DG21,3)&amp;".1.1"=DG21,DATE(LEFT(DG21,3)+1911,1,1),"")))</f>
      </c>
      <c r="DH20" s="2"/>
      <c r="DI20" s="2"/>
      <c r="DJ20" s="327">
        <f>IF(LEFT(DK20,3)&amp;"."&amp;$U$7&amp;"."&amp;$W$7=DK20,DATE(LEFT(DK20,3)+1911,$U$7,$W$7),IF(LEFT(DK20,3)&amp;"."&amp;$AB$9&amp;"."&amp;$AC$9=DK20,DATE(LEFT(DK20,3)+1911,$AB$9,$AC$9),IF(LEFT(DK20,3)&amp;".1.1"=DK20,DATE(LEFT(DK20,3)+1911,1,1),IF(LEFT(DK20,3)&amp;".2.1"=DK20,DATE(LEFT(DK20,3)+1911,2,1),IF(LEFT(DK20,3)&amp;".8.1"=DK20,DATE(LEFT(DK20,3)+1911,8,1),"")))))</f>
      </c>
      <c r="DK20" s="324">
        <f>LEFT(CONCATENATE(DK21,DK22),7)</f>
      </c>
      <c r="DL20" s="2"/>
      <c r="DM20" s="10"/>
      <c r="DV20" s="11"/>
      <c r="DW20" s="3"/>
      <c r="DX20" s="3"/>
      <c r="DY20" s="34"/>
      <c r="DZ20" s="34"/>
      <c r="EA20" s="34"/>
      <c r="EB20" s="210"/>
      <c r="EC20" s="210"/>
      <c r="ED20" s="210"/>
      <c r="EE20" s="34"/>
      <c r="EF20" s="34"/>
      <c r="EG20" s="197"/>
      <c r="EH20" s="34"/>
      <c r="EI20" s="34"/>
      <c r="EJ20" s="34"/>
      <c r="EK20" s="79"/>
      <c r="EL20" s="34"/>
      <c r="EM20" s="34"/>
      <c r="EN20" s="314"/>
      <c r="EO20" s="30"/>
      <c r="EP20" s="315"/>
      <c r="EQ20" s="315"/>
    </row>
    <row r="21" spans="1:147" s="29" customFormat="1" ht="15.75" customHeight="1" thickTop="1">
      <c r="A21" s="143"/>
      <c r="B21" s="14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58"/>
      <c r="O21" s="359"/>
      <c r="P21" s="289" t="str">
        <f>IF(AC150="","註：",IF(AC150=1,"註：","１."))</f>
        <v>１.</v>
      </c>
      <c r="Q21" s="475" t="s">
        <v>145</v>
      </c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360"/>
      <c r="AD21" s="38"/>
      <c r="AE21" s="26"/>
      <c r="AF21" s="26"/>
      <c r="AG21" s="26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28"/>
      <c r="AW21" s="30"/>
      <c r="AX21" s="31"/>
      <c r="AY21" s="32"/>
      <c r="AZ21" s="32"/>
      <c r="BA21" s="32"/>
      <c r="BB21" s="32"/>
      <c r="BC21" s="33"/>
      <c r="BD21" s="464" t="s">
        <v>70</v>
      </c>
      <c r="BE21" s="465"/>
      <c r="BF21" s="465"/>
      <c r="BG21" s="465"/>
      <c r="BH21" s="465"/>
      <c r="BI21" s="465"/>
      <c r="BJ21" s="465"/>
      <c r="BK21" s="465"/>
      <c r="BL21" s="465"/>
      <c r="BM21" s="466"/>
      <c r="BN21" s="79"/>
      <c r="BO21" s="79"/>
      <c r="BP21" s="79"/>
      <c r="BQ21" s="79"/>
      <c r="BR21" s="79"/>
      <c r="BS21" s="79"/>
      <c r="BT21" s="79"/>
      <c r="BU21" s="79"/>
      <c r="BV21" s="79"/>
      <c r="BW21" s="179"/>
      <c r="BX21" s="34"/>
      <c r="BY21" s="20"/>
      <c r="BZ21" s="2"/>
      <c r="CA21" s="181"/>
      <c r="CB21" s="2"/>
      <c r="CC21" s="2"/>
      <c r="CD21" s="181"/>
      <c r="CE21" s="2"/>
      <c r="CF21" s="2"/>
      <c r="CG21" s="2"/>
      <c r="CH21" s="2"/>
      <c r="CI21" s="2"/>
      <c r="CJ21" s="2"/>
      <c r="CK21" s="2"/>
      <c r="CL21" s="2"/>
      <c r="CM21" s="2"/>
      <c r="CN21" s="2"/>
      <c r="CP21" s="2"/>
      <c r="CQ21" s="2"/>
      <c r="CR21" s="2"/>
      <c r="CS21" s="324" t="str">
        <f>CONCATENATE(CS31,CS32,CS33,CS34,CS35,CS36,CS37,CS38,CS39,CS40,CS41,CS42,CS43,CS44,CS45,CS46)</f>
        <v>116.8.1。【說明：原實際條件成就之日期為115.9.28，惟因須配合學期暨受次年度指標數增加或過渡期結束之影響，而必須二次遞延至當學年度結束之次日，始能退休生效，爰推算為116.8.1】</v>
      </c>
      <c r="CT21" s="324" t="str">
        <f>CONCATENATE(CS21,CS22)</f>
        <v>116.8.1。【說明：原實際條件成就之日期為115.9.28，惟因須配合學期暨受次年度指標數增加或過渡期結束之影響，而必須二次遞延至當學年度結束之次日，始能退休生效，爰推算為116.8.1】</v>
      </c>
      <c r="CU21" s="2"/>
      <c r="CV21" s="324">
        <f>CONCATENATE(CV31,CV32,CV33,CV34,CV35,CV36,CV37,CV38,CV39,CV40,CV41,CV42,CV43,CV44,CV45,CV46)</f>
      </c>
      <c r="CW21" s="324">
        <f>CONCATENATE(CV21,CV22)</f>
      </c>
      <c r="CX21" s="2"/>
      <c r="CY21" s="324"/>
      <c r="CZ21" s="328">
        <f>IF(CM18=0,"",INDEX(CY31:CY114,CM18))</f>
      </c>
      <c r="DA21" s="324">
        <f>CONCATENATE(DA31,DA32,DA33,DA34,DA35,DA36,DA37,DA38,DA39,DA40,DA41,DA42,DA43,DA44,DA45,DA46)</f>
      </c>
      <c r="DB21" s="324">
        <f>CONCATENATE(DB31,DB32,DB33,DB34,DB35,DB36,DB37,DB38,DB39,DB40,DB41,DB42,DB43,DB44,DB45,DB46)</f>
      </c>
      <c r="DC21" s="2"/>
      <c r="DD21" s="324">
        <f>CONCATENATE(DD31,DD32,DD33,DD34,DD35,DD36,DD37,DD38,DD39,DD40,DD41,DD42,DD43,DD44,DD45,DD46)</f>
      </c>
      <c r="DE21" s="324">
        <f>CONCATENATE(DE31,DE32,DE33,DE34,DE35,DE36,DE37,DE38,DE39,DE40,DE41,DE42,DE43,DE44,DE45,DE46)</f>
      </c>
      <c r="DF21" s="2"/>
      <c r="DG21" s="2"/>
      <c r="DH21" s="2"/>
      <c r="DI21" s="2"/>
      <c r="DJ21" s="324">
        <f>CONCATENATE(DJ31,DJ32,DJ33,DJ34,DJ35,DJ36,DJ37,DJ38,DJ39,DJ40,DJ41,DJ42,DJ43,DJ44,DJ45,DJ46)</f>
      </c>
      <c r="DK21" s="324">
        <f>CONCATENATE(DK31,DK32,DK33,DK34,DK35,DK36,DK37,DK38,DK39,DK40,DK41,DK42,DK43,DK44,DK45,DK46)</f>
      </c>
      <c r="DL21" s="2"/>
      <c r="DM21" s="326" t="str">
        <f>IF(MIN(CS20,CV20,CY20,DA20,DD20,DJ20)=CS20,CT21,IF(MIN(CS20,CV20,CY20,DA20,DD20,DJ20)=CV20,CW21,IF(MIN(CS20,CV20,CY20,DA20,DD20,DJ20)=CY20,CZ21,IF(MIN(CS20,CV20,CY20,DA20,DD20,DJ20)=DA20,DB19,IF(MIN(CS20,CV20,CY20,DA20,DD20,DJ20)=DD20,DE19,IF(MIN(CS20,CV20,CY20,DA20,DD20,DJ20)=DJ20,DK19))))))</f>
        <v>116.8.1。【說明：原實際條件成就之日期為115.9.28，惟因須配合學期暨受次年度指標數增加或過渡期結束之影響，而必須二次遞延至當學年度結束之次日，始能退休生效，爰推算為116.8.1】</v>
      </c>
      <c r="DV21" s="11"/>
      <c r="DW21" s="3"/>
      <c r="DX21" s="3"/>
      <c r="DY21" s="34"/>
      <c r="DZ21" s="34"/>
      <c r="EA21" s="34"/>
      <c r="EB21" s="210"/>
      <c r="EC21" s="210"/>
      <c r="ED21" s="210"/>
      <c r="EE21" s="34"/>
      <c r="EF21" s="34"/>
      <c r="EG21" s="197"/>
      <c r="EH21" s="34"/>
      <c r="EI21" s="34"/>
      <c r="EJ21" s="34"/>
      <c r="EK21" s="79"/>
      <c r="EL21" s="34"/>
      <c r="EM21" s="34"/>
      <c r="EN21" s="314"/>
      <c r="EO21" s="30"/>
      <c r="EP21" s="315"/>
      <c r="EQ21" s="315"/>
    </row>
    <row r="22" spans="1:146" s="29" customFormat="1" ht="18" customHeight="1">
      <c r="A22" s="143"/>
      <c r="B22" s="14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6"/>
      <c r="O22" s="288"/>
      <c r="P22" s="289" t="str">
        <f>IF(AC150="","",IF(AC150=1,"","２."))</f>
        <v>２.</v>
      </c>
      <c r="Q22" s="475" t="str">
        <f>IF(AC150="","",IF(AC150=1,"","可申請本項退休之最早日期為："&amp;AC149&amp;"。（原實際成就條件時間為"&amp;AC147&amp;"）"))</f>
        <v>可申請本項退休之最早日期為：114.2.1。（原實際成就條件時間為113.9.28）</v>
      </c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288"/>
      <c r="AD22" s="38"/>
      <c r="AE22" s="26"/>
      <c r="AF22" s="26"/>
      <c r="AG22" s="26"/>
      <c r="AH22" s="26"/>
      <c r="AI22" s="26"/>
      <c r="AJ22" s="27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W22" s="30"/>
      <c r="AX22" s="31"/>
      <c r="AY22" s="32"/>
      <c r="AZ22" s="32"/>
      <c r="BA22" s="32"/>
      <c r="BB22" s="32"/>
      <c r="BC22" s="33"/>
      <c r="BD22" s="467"/>
      <c r="BE22" s="468"/>
      <c r="BF22" s="468"/>
      <c r="BG22" s="468"/>
      <c r="BH22" s="468"/>
      <c r="BI22" s="468"/>
      <c r="BJ22" s="468"/>
      <c r="BK22" s="468"/>
      <c r="BL22" s="468"/>
      <c r="BM22" s="469"/>
      <c r="BN22" s="79"/>
      <c r="BO22" s="79"/>
      <c r="BP22" s="79"/>
      <c r="BQ22" s="79"/>
      <c r="BR22" s="79"/>
      <c r="BS22" s="79"/>
      <c r="BT22" s="79"/>
      <c r="BU22" s="79"/>
      <c r="BV22" s="79"/>
      <c r="BW22" s="179"/>
      <c r="BX22" s="34"/>
      <c r="BY22" s="20"/>
      <c r="BZ22" s="2"/>
      <c r="CA22" s="181"/>
      <c r="CB22" s="2"/>
      <c r="CC22" s="2"/>
      <c r="CD22" s="181"/>
      <c r="CE22" s="2"/>
      <c r="CF22" s="2"/>
      <c r="CG22" s="2"/>
      <c r="CH22" s="2"/>
      <c r="CI22" s="2"/>
      <c r="CJ22" s="2"/>
      <c r="CK22" s="2"/>
      <c r="CL22" s="2"/>
      <c r="CM22" s="2"/>
      <c r="CN22" s="2"/>
      <c r="CP22" s="2"/>
      <c r="CQ22" s="2"/>
      <c r="CR22" s="2"/>
      <c r="CS22" s="324">
        <f>CONCATENATE(CS47,CS48,CS49,CS50,CS51,CS52,CS53,CS54,CS55,CS56,CS57,CS58,CS59,CS60,CS61,CS62,CS63,CS64,CS65,CS66)</f>
      </c>
      <c r="CT22" s="2"/>
      <c r="CU22" s="2"/>
      <c r="CV22" s="324">
        <f>CONCATENATE(CV47,CV48,CV49,CV50,CV51,CV52,CV53,CV54,CV55,CV56,CV57,CV58,CV59,CV60,CV61,CV62,CV63,CV64,CV65,CV66)</f>
      </c>
      <c r="CW22" s="2"/>
      <c r="CX22" s="2"/>
      <c r="CY22" s="324"/>
      <c r="CZ22" s="2"/>
      <c r="DA22" s="324">
        <f>CONCATENATE(DA47,DA48,DA49,DA50,DA51,DA52,DA53,DA54,DA55,DA56,DA57,DA58,DA59,DA60,DA61,DA62,DA63,DA64,DA65,DA66)</f>
      </c>
      <c r="DB22" s="324">
        <f>CONCATENATE(DB47,DB48,DB49,DB50,DB51,DB52,DB53,DB54,DB55,DB56,DB57,DB58,DB59,DB60,DB61,DB62,DB63,DB64,DB65,DB66)</f>
      </c>
      <c r="DC22" s="2"/>
      <c r="DD22" s="324">
        <f>CONCATENATE(DD47,DD48,DD49,DD50,DD51,DD52,DD53,DD54,DD55,DD56,DD57,DD58,DD59,DD60,DD61,DD62,DD63,DD64,DD65,DD66)</f>
      </c>
      <c r="DE22" s="324">
        <f>CONCATENATE(DE47,DE48,DE49,DE50,DE51,DE52,DE53,DE54,DE55,DE56,DE57,DE58,DE59,DE60,DE61,DE62,DE63,DE64,DE65,DE66)</f>
      </c>
      <c r="DF22" s="2"/>
      <c r="DG22" s="2"/>
      <c r="DH22" s="2"/>
      <c r="DI22" s="2"/>
      <c r="DJ22" s="324">
        <f>CONCATENATE(DJ47,DJ48,DJ49,DJ50,DJ51,DJ52,DJ53,DJ54,DJ55,DJ56,DJ57,DJ58,DJ59,DJ60,DJ61,DJ62,DJ63,DJ64,DJ65,DJ66)</f>
      </c>
      <c r="DK22" s="324">
        <f>CONCATENATE(DK47,DK48,DK49,DK50,DK51,DK52,DK53,DK54,DK55,DK56,DK57,DK58,DK59,DK60,DK61,DK62,DK63,DK64,DK65,DK66)</f>
      </c>
      <c r="DL22" s="2"/>
      <c r="DM22" s="333" t="str">
        <f>LEFT(DM21,7)</f>
        <v>116.8.1</v>
      </c>
      <c r="DV22" s="11"/>
      <c r="DW22" s="3"/>
      <c r="DX22" s="3"/>
      <c r="DY22" s="34"/>
      <c r="DZ22" s="34"/>
      <c r="EA22" s="34"/>
      <c r="EB22" s="210"/>
      <c r="EC22" s="210"/>
      <c r="ED22" s="210"/>
      <c r="EE22" s="34"/>
      <c r="EF22" s="34"/>
      <c r="EG22" s="197"/>
      <c r="EH22" s="34"/>
      <c r="EI22" s="34"/>
      <c r="EJ22" s="34"/>
      <c r="EK22" s="79"/>
      <c r="EL22" s="34"/>
      <c r="EM22" s="34"/>
      <c r="EN22" s="314"/>
      <c r="EO22" s="319" t="s">
        <v>154</v>
      </c>
      <c r="EP22" s="320"/>
    </row>
    <row r="23" spans="1:147" s="29" customFormat="1" ht="13.5" customHeight="1" hidden="1">
      <c r="A23" s="143"/>
      <c r="B23" s="14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6"/>
      <c r="O23" s="288"/>
      <c r="P23" s="448"/>
      <c r="Q23" s="449"/>
      <c r="R23" s="449"/>
      <c r="S23" s="449"/>
      <c r="T23" s="450"/>
      <c r="U23" s="450"/>
      <c r="V23" s="450"/>
      <c r="W23" s="450"/>
      <c r="X23" s="450"/>
      <c r="Y23" s="450"/>
      <c r="Z23" s="450"/>
      <c r="AA23" s="361"/>
      <c r="AB23" s="288"/>
      <c r="AC23" s="288"/>
      <c r="AD23" s="38"/>
      <c r="AE23" s="26"/>
      <c r="AF23" s="26"/>
      <c r="AG23" s="26"/>
      <c r="AH23" s="26"/>
      <c r="AI23" s="26"/>
      <c r="AJ23" s="27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W23" s="30"/>
      <c r="AX23" s="31"/>
      <c r="AY23" s="32"/>
      <c r="AZ23" s="32"/>
      <c r="BA23" s="32"/>
      <c r="BB23" s="32"/>
      <c r="BC23" s="33"/>
      <c r="BD23" s="467"/>
      <c r="BE23" s="468"/>
      <c r="BF23" s="468"/>
      <c r="BG23" s="468"/>
      <c r="BH23" s="468"/>
      <c r="BI23" s="468"/>
      <c r="BJ23" s="468"/>
      <c r="BK23" s="468"/>
      <c r="BL23" s="468"/>
      <c r="BM23" s="469"/>
      <c r="BN23" s="79"/>
      <c r="BO23" s="79"/>
      <c r="BP23" s="79"/>
      <c r="BQ23" s="79"/>
      <c r="BR23" s="79"/>
      <c r="BS23" s="79"/>
      <c r="BT23" s="79"/>
      <c r="BU23" s="79"/>
      <c r="BV23" s="79"/>
      <c r="BW23" s="179"/>
      <c r="BX23" s="34"/>
      <c r="BY23" s="20"/>
      <c r="BZ23" s="2"/>
      <c r="CA23" s="181"/>
      <c r="CB23" s="2"/>
      <c r="CC23" s="2"/>
      <c r="CD23" s="181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10"/>
      <c r="DV23" s="11"/>
      <c r="DW23" s="3"/>
      <c r="DX23" s="3"/>
      <c r="DY23" s="34"/>
      <c r="DZ23" s="34"/>
      <c r="EA23" s="34"/>
      <c r="EB23" s="210"/>
      <c r="EC23" s="210"/>
      <c r="ED23" s="210"/>
      <c r="EE23" s="34"/>
      <c r="EF23" s="34"/>
      <c r="EG23" s="197"/>
      <c r="EH23" s="34"/>
      <c r="EI23" s="34"/>
      <c r="EJ23" s="34"/>
      <c r="EK23" s="79"/>
      <c r="EL23" s="34"/>
      <c r="EM23" s="34"/>
      <c r="EN23" s="314"/>
      <c r="EO23" s="30"/>
      <c r="EP23" s="315"/>
      <c r="EQ23" s="315"/>
    </row>
    <row r="24" spans="1:147" s="29" customFormat="1" ht="16.5" customHeight="1" hidden="1">
      <c r="A24" s="143"/>
      <c r="B24" s="1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86"/>
      <c r="O24" s="288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  <c r="AC24" s="360"/>
      <c r="AD24" s="38"/>
      <c r="AE24" s="26"/>
      <c r="AF24" s="26"/>
      <c r="AG24" s="26"/>
      <c r="AH24" s="26"/>
      <c r="AI24" s="26"/>
      <c r="AJ24" s="27"/>
      <c r="AK24" s="27"/>
      <c r="AL24" s="28"/>
      <c r="AM24" s="28"/>
      <c r="AN24" s="28"/>
      <c r="AO24" s="28"/>
      <c r="AP24" s="28"/>
      <c r="AQ24" s="28"/>
      <c r="AR24" s="28"/>
      <c r="AS24" s="28"/>
      <c r="AT24" s="28"/>
      <c r="AW24" s="185">
        <v>90</v>
      </c>
      <c r="AX24" s="31"/>
      <c r="AY24" s="32"/>
      <c r="AZ24" s="32"/>
      <c r="BA24" s="32"/>
      <c r="BB24" s="32"/>
      <c r="BC24" s="33"/>
      <c r="BD24" s="415" t="s">
        <v>80</v>
      </c>
      <c r="BE24" s="407"/>
      <c r="BF24" s="407"/>
      <c r="BG24" s="407"/>
      <c r="BH24" s="407"/>
      <c r="BI24" s="407"/>
      <c r="BJ24" s="416"/>
      <c r="BK24" s="436" t="str">
        <f>SUM(BK31:BK44)+INT((SUM(BL31:BL44)+INT(SUM(BM31:BM44)/30))/12)&amp;"
年"</f>
        <v>1
年</v>
      </c>
      <c r="BL24" s="436" t="str">
        <f>MOD((SUM(BL31:BL44)+INT(SUM(BM31:BM44)/30)),12)&amp;"
月"</f>
        <v>10
月</v>
      </c>
      <c r="BM24" s="495" t="str">
        <f>MOD(SUM(BM31:BM44),30)&amp;"
日"</f>
        <v>8
日</v>
      </c>
      <c r="BN24" s="79"/>
      <c r="BO24" s="79"/>
      <c r="BP24" s="79"/>
      <c r="BQ24" s="79"/>
      <c r="BR24" s="79"/>
      <c r="BS24" s="79"/>
      <c r="BT24" s="79"/>
      <c r="BU24" s="79"/>
      <c r="BV24" s="79"/>
      <c r="BW24" s="179"/>
      <c r="BX24" s="34"/>
      <c r="BY24" s="20"/>
      <c r="BZ24" s="2"/>
      <c r="CA24" s="181"/>
      <c r="CB24" s="2"/>
      <c r="CC24" s="2"/>
      <c r="CD24" s="181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10"/>
      <c r="DV24" s="11"/>
      <c r="DW24" s="3"/>
      <c r="DX24" s="3"/>
      <c r="DY24" s="34"/>
      <c r="DZ24" s="34"/>
      <c r="EA24" s="34"/>
      <c r="EB24" s="210"/>
      <c r="EC24" s="210"/>
      <c r="ED24" s="210"/>
      <c r="EE24" s="34"/>
      <c r="EF24" s="34"/>
      <c r="EG24" s="197"/>
      <c r="EH24" s="34"/>
      <c r="EI24" s="34"/>
      <c r="EJ24" s="34"/>
      <c r="EK24" s="79"/>
      <c r="EL24" s="34"/>
      <c r="EM24" s="34"/>
      <c r="EN24" s="314"/>
      <c r="EO24" s="30"/>
      <c r="EP24" s="315"/>
      <c r="EQ24" s="315"/>
    </row>
    <row r="25" spans="1:147" s="29" customFormat="1" ht="14.25" customHeight="1" hidden="1">
      <c r="A25" s="143"/>
      <c r="B25" s="14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6"/>
      <c r="O25" s="288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  <c r="AC25" s="288"/>
      <c r="AD25" s="38"/>
      <c r="AE25" s="26"/>
      <c r="AF25" s="26"/>
      <c r="AG25" s="26"/>
      <c r="AH25" s="26"/>
      <c r="AI25" s="26"/>
      <c r="AJ25" s="27"/>
      <c r="AK25" s="27"/>
      <c r="AL25" s="28"/>
      <c r="AM25" s="28"/>
      <c r="AN25" s="28"/>
      <c r="AO25" s="28"/>
      <c r="AP25" s="28"/>
      <c r="AQ25" s="28"/>
      <c r="AR25" s="28"/>
      <c r="AS25" s="28"/>
      <c r="AT25" s="28"/>
      <c r="AW25" s="185">
        <f>IF(S5="公務人員",15,10)</f>
        <v>10</v>
      </c>
      <c r="AX25" s="31"/>
      <c r="AY25" s="32"/>
      <c r="AZ25" s="32"/>
      <c r="BA25" s="32"/>
      <c r="BB25" s="32"/>
      <c r="BC25" s="33"/>
      <c r="BD25" s="417"/>
      <c r="BE25" s="407"/>
      <c r="BF25" s="407"/>
      <c r="BG25" s="407"/>
      <c r="BH25" s="407"/>
      <c r="BI25" s="407"/>
      <c r="BJ25" s="416"/>
      <c r="BK25" s="437"/>
      <c r="BL25" s="437"/>
      <c r="BM25" s="496"/>
      <c r="BN25" s="79"/>
      <c r="BO25" s="79"/>
      <c r="BP25" s="79"/>
      <c r="BQ25" s="79"/>
      <c r="BR25" s="79"/>
      <c r="BS25" s="79"/>
      <c r="BT25" s="79"/>
      <c r="BU25" s="79"/>
      <c r="BV25" s="79"/>
      <c r="BW25" s="179"/>
      <c r="BX25" s="34"/>
      <c r="BY25" s="20"/>
      <c r="BZ25" s="2"/>
      <c r="CA25" s="181"/>
      <c r="CB25" s="2"/>
      <c r="CC25" s="2"/>
      <c r="CD25" s="181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492" t="s">
        <v>79</v>
      </c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519"/>
      <c r="DO25" s="407"/>
      <c r="DP25" s="407"/>
      <c r="DQ25" s="407"/>
      <c r="DR25" s="407"/>
      <c r="DS25" s="407"/>
      <c r="DT25" s="407"/>
      <c r="DU25" s="407"/>
      <c r="DV25" s="407"/>
      <c r="DW25" s="3"/>
      <c r="DX25" s="3"/>
      <c r="DY25" s="34"/>
      <c r="DZ25" s="34"/>
      <c r="EA25" s="34"/>
      <c r="EB25" s="210"/>
      <c r="EC25" s="210"/>
      <c r="ED25" s="210"/>
      <c r="EE25" s="34"/>
      <c r="EF25" s="34"/>
      <c r="EG25" s="197"/>
      <c r="EH25" s="34"/>
      <c r="EI25" s="34"/>
      <c r="EJ25" s="34"/>
      <c r="EK25" s="79"/>
      <c r="EL25" s="34"/>
      <c r="EM25" s="34"/>
      <c r="EN25" s="314"/>
      <c r="EO25" s="30"/>
      <c r="EP25" s="315"/>
      <c r="EQ25" s="315"/>
    </row>
    <row r="26" spans="1:147" s="29" customFormat="1" ht="16.5" customHeight="1" hidden="1">
      <c r="A26" s="143"/>
      <c r="B26" s="14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38"/>
      <c r="AE26" s="26"/>
      <c r="AF26" s="26"/>
      <c r="AG26" s="26"/>
      <c r="AH26" s="26"/>
      <c r="AI26" s="26"/>
      <c r="AJ26" s="27"/>
      <c r="AK26" s="27"/>
      <c r="AL26" s="28"/>
      <c r="AM26" s="28"/>
      <c r="AN26" s="28"/>
      <c r="AO26" s="28"/>
      <c r="AP26" s="28"/>
      <c r="AQ26" s="28"/>
      <c r="AR26" s="28"/>
      <c r="AS26" s="28"/>
      <c r="AT26" s="28"/>
      <c r="AW26" s="30"/>
      <c r="AX26" s="31"/>
      <c r="AY26" s="32"/>
      <c r="AZ26" s="32"/>
      <c r="BA26" s="32"/>
      <c r="BB26" s="32"/>
      <c r="BC26" s="33"/>
      <c r="BD26" s="417"/>
      <c r="BE26" s="407"/>
      <c r="BF26" s="407"/>
      <c r="BG26" s="407"/>
      <c r="BH26" s="407"/>
      <c r="BI26" s="407"/>
      <c r="BJ26" s="416"/>
      <c r="BK26" s="437"/>
      <c r="BL26" s="437"/>
      <c r="BM26" s="496"/>
      <c r="BN26" s="79"/>
      <c r="BO26" s="79"/>
      <c r="BP26" s="79"/>
      <c r="BQ26" s="79"/>
      <c r="BR26" s="79"/>
      <c r="BS26" s="79"/>
      <c r="BT26" s="79"/>
      <c r="BU26" s="79"/>
      <c r="BV26" s="79"/>
      <c r="BW26" s="179"/>
      <c r="BX26" s="34"/>
      <c r="BY26" s="20"/>
      <c r="BZ26" s="2"/>
      <c r="CA26" s="181"/>
      <c r="CB26" s="2"/>
      <c r="CC26" s="2"/>
      <c r="CD26" s="181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493"/>
      <c r="CP26" s="493"/>
      <c r="CQ26" s="493"/>
      <c r="CR26" s="493"/>
      <c r="CS26" s="493"/>
      <c r="CT26" s="493"/>
      <c r="CU26" s="493"/>
      <c r="CV26" s="493"/>
      <c r="CW26" s="493"/>
      <c r="CX26" s="493"/>
      <c r="CY26" s="493"/>
      <c r="CZ26" s="493"/>
      <c r="DA26" s="493"/>
      <c r="DB26" s="493"/>
      <c r="DC26" s="493"/>
      <c r="DD26" s="493"/>
      <c r="DE26" s="493"/>
      <c r="DF26" s="493"/>
      <c r="DG26" s="493"/>
      <c r="DH26" s="493"/>
      <c r="DI26" s="493"/>
      <c r="DJ26" s="493"/>
      <c r="DK26" s="493"/>
      <c r="DL26" s="493"/>
      <c r="DM26" s="493"/>
      <c r="DN26" s="407"/>
      <c r="DO26" s="407"/>
      <c r="DP26" s="407"/>
      <c r="DQ26" s="407"/>
      <c r="DR26" s="407"/>
      <c r="DS26" s="407"/>
      <c r="DT26" s="407"/>
      <c r="DU26" s="407"/>
      <c r="DV26" s="407"/>
      <c r="DW26" s="3"/>
      <c r="DX26" s="3"/>
      <c r="DY26" s="34"/>
      <c r="DZ26" s="34"/>
      <c r="EA26" s="34"/>
      <c r="EB26" s="210"/>
      <c r="EC26" s="210"/>
      <c r="ED26" s="210"/>
      <c r="EE26" s="34"/>
      <c r="EF26" s="34"/>
      <c r="EG26" s="197"/>
      <c r="EH26" s="34"/>
      <c r="EI26" s="34"/>
      <c r="EJ26" s="34"/>
      <c r="EK26" s="79"/>
      <c r="EL26" s="34"/>
      <c r="EM26" s="34"/>
      <c r="EN26" s="314"/>
      <c r="EO26" s="30"/>
      <c r="EP26" s="315"/>
      <c r="EQ26" s="315"/>
    </row>
    <row r="27" spans="1:150" ht="38.25" customHeight="1" thickBot="1">
      <c r="A27" s="142"/>
      <c r="B27" s="150"/>
      <c r="G27" s="60">
        <f>C31-$Y$7</f>
        <v>481026</v>
      </c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5"/>
      <c r="Y27" s="451" t="str">
        <f>IF(AC182="選擇減額無實益",AC182,AC182)</f>
        <v>116.2.5</v>
      </c>
      <c r="Z27" s="452"/>
      <c r="AA27" s="453"/>
      <c r="AB27" s="453"/>
      <c r="AC27" s="354"/>
      <c r="AD27" s="80"/>
      <c r="AF27" s="81"/>
      <c r="AW27" s="82" t="str">
        <f>AW29&amp;AW30</f>
        <v>您將在下方推算結果，達到符合【年資≧25年&amp;年齡≧50歲】且【年資＋年齡≧當年法定指標數】之擇領全額月退休金條件</v>
      </c>
      <c r="AY27" s="4"/>
      <c r="AZ27" s="4"/>
      <c r="BA27" s="4"/>
      <c r="BB27" s="4"/>
      <c r="BC27" s="5"/>
      <c r="BD27" s="418"/>
      <c r="BE27" s="419"/>
      <c r="BF27" s="419"/>
      <c r="BG27" s="419"/>
      <c r="BH27" s="419"/>
      <c r="BI27" s="419"/>
      <c r="BJ27" s="420"/>
      <c r="BK27" s="438"/>
      <c r="BL27" s="438"/>
      <c r="BM27" s="497"/>
      <c r="BN27" s="83"/>
      <c r="BO27" s="83"/>
      <c r="BP27" s="83"/>
      <c r="BQ27" s="83"/>
      <c r="BR27" s="83"/>
      <c r="BS27" s="83"/>
      <c r="BT27" s="83"/>
      <c r="BU27" s="83"/>
      <c r="BV27" s="83"/>
      <c r="BW27" s="427" t="s">
        <v>34</v>
      </c>
      <c r="BX27" s="424" t="s">
        <v>35</v>
      </c>
      <c r="BY27" s="424" t="s">
        <v>36</v>
      </c>
      <c r="BZ27" s="498" t="s">
        <v>37</v>
      </c>
      <c r="CA27" s="504" t="s">
        <v>38</v>
      </c>
      <c r="CB27" s="504"/>
      <c r="CC27" s="498" t="s">
        <v>39</v>
      </c>
      <c r="CD27" s="505" t="s">
        <v>40</v>
      </c>
      <c r="CE27" s="505"/>
      <c r="CF27" s="498" t="s">
        <v>41</v>
      </c>
      <c r="CG27" s="503"/>
      <c r="CH27" s="503"/>
      <c r="CI27" s="498" t="s">
        <v>42</v>
      </c>
      <c r="CJ27" s="503"/>
      <c r="CK27" s="503"/>
      <c r="CL27" s="506" t="s">
        <v>43</v>
      </c>
      <c r="CM27" s="506" t="s">
        <v>44</v>
      </c>
      <c r="CN27" s="506" t="s">
        <v>45</v>
      </c>
      <c r="CO27" s="493"/>
      <c r="CP27" s="493"/>
      <c r="CQ27" s="493"/>
      <c r="CR27" s="493"/>
      <c r="CS27" s="493"/>
      <c r="CT27" s="493"/>
      <c r="CU27" s="493"/>
      <c r="CV27" s="493"/>
      <c r="CW27" s="493"/>
      <c r="CX27" s="493"/>
      <c r="CY27" s="493"/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93"/>
      <c r="DL27" s="493"/>
      <c r="DM27" s="493"/>
      <c r="DN27" s="407"/>
      <c r="DO27" s="407"/>
      <c r="DP27" s="407"/>
      <c r="DQ27" s="407"/>
      <c r="DR27" s="407"/>
      <c r="DS27" s="407"/>
      <c r="DT27" s="407"/>
      <c r="DU27" s="407"/>
      <c r="DV27" s="407"/>
      <c r="DW27" s="513" t="s">
        <v>72</v>
      </c>
      <c r="DX27" s="514"/>
      <c r="DY27" s="8"/>
      <c r="DZ27" s="8"/>
      <c r="EA27" s="8"/>
      <c r="EB27" s="209"/>
      <c r="EC27" s="209"/>
      <c r="ED27" s="209"/>
      <c r="EE27" s="8"/>
      <c r="EF27" s="8"/>
      <c r="EG27" s="196"/>
      <c r="EH27" s="8"/>
      <c r="EI27" s="406" t="s">
        <v>153</v>
      </c>
      <c r="EJ27" s="8"/>
      <c r="EK27" s="83"/>
      <c r="EL27" s="8"/>
      <c r="EM27" s="8"/>
      <c r="EN27" s="314"/>
      <c r="EO27" s="30">
        <f>INDEX(B31:B113,MATCH("★",V31:V113,0))</f>
        <v>115</v>
      </c>
      <c r="ET27" s="351" t="str">
        <f>ET28&amp;"。【說明：原實際條件成就之日期為"&amp;ET29&amp;"】。"</f>
        <v>。【說明：原實際條件成就之日期為-11.1.0】。</v>
      </c>
    </row>
    <row r="28" spans="1:150" s="93" customFormat="1" ht="12" customHeight="1" thickBot="1" thickTop="1">
      <c r="A28" s="141"/>
      <c r="B28" s="14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61"/>
      <c r="X28" s="35"/>
      <c r="Y28" s="35"/>
      <c r="Z28" s="35"/>
      <c r="AA28" s="35" t="str">
        <f>IF(ISERROR(INDEX(N31:N113,MATCH("●",AA31:AA113,0)))=TRUE,"【成就時間在可支領全額月退休金之後或同一年，無申請必要】",IF($S$5="公務人員",LEFT(INDEX(N31:N113,MATCH("●",AA31:AA113,0)),3)&amp;MID(Z5,4,6),LEFT(INDEX(N31:N113,MATCH("●",AA31:AA113,0)),3)&amp;DM16&amp;" 起，但實際退休生效日期必須配合學期"))</f>
        <v>【成就時間在可支領全額月退休金之後或同一年，無申請必要】</v>
      </c>
      <c r="AB28" s="35"/>
      <c r="AC28" s="35"/>
      <c r="AD28" s="35"/>
      <c r="AE28" s="89"/>
      <c r="AF28" s="89"/>
      <c r="AG28" s="89"/>
      <c r="AH28" s="89"/>
      <c r="AI28" s="89"/>
      <c r="AJ28" s="91"/>
      <c r="AK28" s="91"/>
      <c r="AL28" s="92"/>
      <c r="AM28" s="92"/>
      <c r="AN28" s="92"/>
      <c r="AO28" s="92"/>
      <c r="AP28" s="92"/>
      <c r="AQ28" s="92"/>
      <c r="AR28" s="92"/>
      <c r="AS28" s="92"/>
      <c r="AT28" s="92"/>
      <c r="AW28" s="94"/>
      <c r="AX28" s="95"/>
      <c r="AY28" s="96"/>
      <c r="AZ28" s="96"/>
      <c r="BA28" s="96"/>
      <c r="BB28" s="96"/>
      <c r="BC28" s="97"/>
      <c r="BD28" s="421" t="s">
        <v>46</v>
      </c>
      <c r="BE28" s="442" t="s">
        <v>47</v>
      </c>
      <c r="BF28" s="443"/>
      <c r="BG28" s="444"/>
      <c r="BH28" s="585" t="s">
        <v>48</v>
      </c>
      <c r="BI28" s="443"/>
      <c r="BJ28" s="444"/>
      <c r="BK28" s="587" t="s">
        <v>69</v>
      </c>
      <c r="BL28" s="443"/>
      <c r="BM28" s="588"/>
      <c r="BN28" s="98"/>
      <c r="BO28" s="98"/>
      <c r="BP28" s="98"/>
      <c r="BQ28" s="98"/>
      <c r="BR28" s="98"/>
      <c r="BS28" s="98"/>
      <c r="BT28" s="404" t="s">
        <v>148</v>
      </c>
      <c r="BU28" s="404"/>
      <c r="BV28" s="404"/>
      <c r="BW28" s="428"/>
      <c r="BX28" s="425"/>
      <c r="BY28" s="425"/>
      <c r="BZ28" s="499"/>
      <c r="CA28" s="504"/>
      <c r="CB28" s="504"/>
      <c r="CC28" s="503"/>
      <c r="CD28" s="505"/>
      <c r="CE28" s="505"/>
      <c r="CF28" s="503"/>
      <c r="CG28" s="503"/>
      <c r="CH28" s="503"/>
      <c r="CI28" s="503"/>
      <c r="CJ28" s="503"/>
      <c r="CK28" s="503"/>
      <c r="CL28" s="507"/>
      <c r="CM28" s="507"/>
      <c r="CN28" s="507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85"/>
      <c r="DN28" s="73"/>
      <c r="DO28" s="73"/>
      <c r="DP28" s="73"/>
      <c r="DQ28" s="73"/>
      <c r="DR28" s="101"/>
      <c r="DS28" s="101"/>
      <c r="DT28" s="101"/>
      <c r="DU28" s="101"/>
      <c r="DV28" s="87"/>
      <c r="DW28" s="514"/>
      <c r="DX28" s="514"/>
      <c r="DY28" s="34"/>
      <c r="DZ28" s="141"/>
      <c r="EA28" s="141"/>
      <c r="EB28" s="210"/>
      <c r="EC28" s="210"/>
      <c r="ED28" s="210"/>
      <c r="EE28" s="141"/>
      <c r="EF28" s="141"/>
      <c r="EG28" s="198"/>
      <c r="EH28" s="141"/>
      <c r="EI28" s="407"/>
      <c r="EJ28" s="141"/>
      <c r="EK28" s="404" t="s">
        <v>148</v>
      </c>
      <c r="EL28" s="141"/>
      <c r="EM28" s="141"/>
      <c r="EN28" s="316"/>
      <c r="EO28" s="94"/>
      <c r="EP28" s="317"/>
      <c r="EQ28" s="317"/>
      <c r="ET28" s="352">
        <f>IF(AND(ET30&gt;=DATE(YEAR(ET30),1,1),ET30&lt;=DATE(YEAR(ET30),2,1)),YEAR(ET30)-1911&amp;".2.1",IF(AND(ET30&gt;DATE(YEAR(ET30),2,1),ET30&lt;=DATE(YEAR(ET30),8,1)),YEAR(ET30)-1911&amp;".8.1",IF(AND(ET30&gt;DATE(YEAR(ET30),8,1),ET30&lt;=DATE(YEAR(ET30),12,31)),YEAR(ET30)-1911+1&amp;".2.1","")))</f>
      </c>
    </row>
    <row r="29" spans="1:150" s="29" customFormat="1" ht="29.25" customHeight="1">
      <c r="A29" s="143"/>
      <c r="B29" s="149"/>
      <c r="C29" s="26"/>
      <c r="D29" s="406" t="s">
        <v>49</v>
      </c>
      <c r="E29" s="406"/>
      <c r="F29" s="406"/>
      <c r="G29" s="26"/>
      <c r="H29" s="26"/>
      <c r="I29" s="26"/>
      <c r="J29" s="26"/>
      <c r="K29" s="26"/>
      <c r="L29" s="26"/>
      <c r="M29" s="26"/>
      <c r="N29" s="555" t="s">
        <v>81</v>
      </c>
      <c r="O29" s="556"/>
      <c r="P29" s="556"/>
      <c r="Q29" s="556"/>
      <c r="R29" s="508" t="s">
        <v>82</v>
      </c>
      <c r="S29" s="559" t="s">
        <v>83</v>
      </c>
      <c r="T29" s="560"/>
      <c r="U29" s="561"/>
      <c r="V29" s="523" t="s">
        <v>160</v>
      </c>
      <c r="W29" s="432" t="s">
        <v>99</v>
      </c>
      <c r="X29" s="433"/>
      <c r="Y29" s="433"/>
      <c r="Z29" s="434"/>
      <c r="AA29" s="274"/>
      <c r="AB29" s="273" t="s">
        <v>137</v>
      </c>
      <c r="AC29" s="226" t="s">
        <v>136</v>
      </c>
      <c r="AD29" s="102"/>
      <c r="AE29" s="26" t="s">
        <v>50</v>
      </c>
      <c r="AF29" s="26" t="s">
        <v>159</v>
      </c>
      <c r="AG29" s="26" t="s">
        <v>120</v>
      </c>
      <c r="AH29" s="26"/>
      <c r="AI29" s="26" t="s">
        <v>51</v>
      </c>
      <c r="AJ29" s="26" t="s">
        <v>52</v>
      </c>
      <c r="AK29" s="26" t="s">
        <v>53</v>
      </c>
      <c r="AL29" s="26" t="s">
        <v>54</v>
      </c>
      <c r="AM29" s="103"/>
      <c r="AN29" s="103"/>
      <c r="AO29" s="103"/>
      <c r="AP29" s="103"/>
      <c r="AQ29" s="103"/>
      <c r="AR29" s="103"/>
      <c r="AS29" s="28"/>
      <c r="AT29" s="28"/>
      <c r="AU29" s="28"/>
      <c r="AV29" s="103"/>
      <c r="AW29" s="104" t="str">
        <f>CONCATENATE(AW31,AW32,AW33,AW34,AW35,AW36,AW37,AW38,AW39,AW40,AW41,AW42,AW43,AW44,AW45,AW46)</f>
        <v>您將在下方推算結果，達到符合【年資≧25年&amp;年齡≧50歲】且【年資＋年齡≧當年法定指標數】之擇領全額月退休金條件</v>
      </c>
      <c r="AX29" s="31">
        <f>INDEX(B31:B113,MATCH(1,AX31:AX113,0),1)</f>
        <v>113</v>
      </c>
      <c r="AY29" s="32"/>
      <c r="AZ29" s="32"/>
      <c r="BA29" s="32"/>
      <c r="BB29" s="32"/>
      <c r="BC29" s="33"/>
      <c r="BD29" s="422"/>
      <c r="BE29" s="445"/>
      <c r="BF29" s="446"/>
      <c r="BG29" s="447"/>
      <c r="BH29" s="586"/>
      <c r="BI29" s="446"/>
      <c r="BJ29" s="447"/>
      <c r="BK29" s="586"/>
      <c r="BL29" s="446"/>
      <c r="BM29" s="589"/>
      <c r="BN29" s="105"/>
      <c r="BO29" s="105"/>
      <c r="BP29" s="105"/>
      <c r="BQ29" s="500"/>
      <c r="BR29" s="501"/>
      <c r="BS29" s="502"/>
      <c r="BT29" s="404"/>
      <c r="BU29" s="404"/>
      <c r="BV29" s="404"/>
      <c r="BW29" s="428"/>
      <c r="BX29" s="425"/>
      <c r="BY29" s="425"/>
      <c r="BZ29" s="499"/>
      <c r="CA29" s="504"/>
      <c r="CB29" s="504"/>
      <c r="CC29" s="503"/>
      <c r="CD29" s="505"/>
      <c r="CE29" s="505"/>
      <c r="CF29" s="503"/>
      <c r="CG29" s="503"/>
      <c r="CH29" s="503"/>
      <c r="CI29" s="503"/>
      <c r="CJ29" s="503"/>
      <c r="CK29" s="503"/>
      <c r="CL29" s="507"/>
      <c r="CM29" s="507"/>
      <c r="CN29" s="507"/>
      <c r="CO29" s="494">
        <v>75</v>
      </c>
      <c r="CP29" s="494"/>
      <c r="CQ29" s="494"/>
      <c r="CR29" s="494"/>
      <c r="CS29" s="494"/>
      <c r="CT29" s="494"/>
      <c r="CU29" s="494"/>
      <c r="CV29" s="494"/>
      <c r="CW29" s="494"/>
      <c r="CX29" s="99"/>
      <c r="CY29" s="99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6"/>
      <c r="DN29" s="510"/>
      <c r="DO29" s="510"/>
      <c r="DP29" s="510"/>
      <c r="DQ29" s="510"/>
      <c r="DR29" s="101"/>
      <c r="DS29" s="101"/>
      <c r="DT29" s="101"/>
      <c r="DU29" s="101"/>
      <c r="DV29" s="107"/>
      <c r="DW29" s="514"/>
      <c r="DX29" s="514"/>
      <c r="DY29" s="34"/>
      <c r="DZ29" s="34"/>
      <c r="EA29" s="34"/>
      <c r="EB29" s="210" t="s">
        <v>92</v>
      </c>
      <c r="EC29" s="210" t="s">
        <v>93</v>
      </c>
      <c r="ED29" s="210" t="s">
        <v>94</v>
      </c>
      <c r="EE29" s="34"/>
      <c r="EF29" s="34"/>
      <c r="EG29" s="197"/>
      <c r="EH29" s="34"/>
      <c r="EI29" s="407"/>
      <c r="EJ29" s="34"/>
      <c r="EK29" s="404"/>
      <c r="EL29" s="34"/>
      <c r="EM29" s="34"/>
      <c r="EN29" s="314"/>
      <c r="EO29" s="30"/>
      <c r="EP29" s="315"/>
      <c r="EQ29" s="315"/>
      <c r="ET29" s="353" t="str">
        <f>YEAR(ET30)-1911&amp;"."&amp;MONTH(ET30)&amp;"."&amp;DAY(ET30)</f>
        <v>-11.1.0</v>
      </c>
    </row>
    <row r="30" spans="1:150" s="29" customFormat="1" ht="27.75" customHeight="1" thickBot="1">
      <c r="A30" s="143"/>
      <c r="B30" s="149"/>
      <c r="C30" s="26" t="s">
        <v>55</v>
      </c>
      <c r="D30" s="26" t="s">
        <v>1</v>
      </c>
      <c r="E30" s="26" t="s">
        <v>2</v>
      </c>
      <c r="F30" s="26" t="s">
        <v>3</v>
      </c>
      <c r="G30" s="26" t="s">
        <v>56</v>
      </c>
      <c r="H30" s="520" t="s">
        <v>57</v>
      </c>
      <c r="I30" s="520"/>
      <c r="J30" s="520"/>
      <c r="K30" s="520" t="s">
        <v>58</v>
      </c>
      <c r="L30" s="520"/>
      <c r="M30" s="520"/>
      <c r="N30" s="557"/>
      <c r="O30" s="558"/>
      <c r="P30" s="558"/>
      <c r="Q30" s="558"/>
      <c r="R30" s="509"/>
      <c r="S30" s="199" t="s">
        <v>0</v>
      </c>
      <c r="T30" s="200" t="s">
        <v>4</v>
      </c>
      <c r="U30" s="201" t="s">
        <v>5</v>
      </c>
      <c r="V30" s="524"/>
      <c r="W30" s="419"/>
      <c r="X30" s="419"/>
      <c r="Y30" s="419"/>
      <c r="Z30" s="435"/>
      <c r="AA30" s="275"/>
      <c r="AB30" s="271" t="s">
        <v>146</v>
      </c>
      <c r="AC30" s="225" t="s">
        <v>147</v>
      </c>
      <c r="AD30" s="102"/>
      <c r="AE30" s="108">
        <v>0</v>
      </c>
      <c r="AF30" s="108">
        <v>0</v>
      </c>
      <c r="AG30" s="108">
        <v>0</v>
      </c>
      <c r="AH30" s="108">
        <v>0</v>
      </c>
      <c r="AI30" s="108"/>
      <c r="AJ30" s="108"/>
      <c r="AK30" s="108"/>
      <c r="AL30" s="108"/>
      <c r="AM30" s="103" t="s">
        <v>18</v>
      </c>
      <c r="AN30" s="103" t="s">
        <v>19</v>
      </c>
      <c r="AO30" s="103" t="s">
        <v>20</v>
      </c>
      <c r="AP30" s="103" t="s">
        <v>0</v>
      </c>
      <c r="AQ30" s="103"/>
      <c r="AR30" s="103" t="s">
        <v>21</v>
      </c>
      <c r="AS30" s="28"/>
      <c r="AT30" s="28"/>
      <c r="AU30" s="28"/>
      <c r="AV30" s="103"/>
      <c r="AW30" s="109">
        <f>CONCATENATE(AW47,AW48,AW49,AW50,AW51,AW52,AW53,AW54,AW55,AW56,AW57,AW58,AW59,AW60,AW61,AW62,AW63,AW64,AW65,AW66)</f>
      </c>
      <c r="AX30" s="31"/>
      <c r="AY30" s="32"/>
      <c r="AZ30" s="32"/>
      <c r="BA30" s="32"/>
      <c r="BB30" s="32"/>
      <c r="BC30" s="33"/>
      <c r="BD30" s="423"/>
      <c r="BE30" s="157" t="s">
        <v>1</v>
      </c>
      <c r="BF30" s="158" t="s">
        <v>2</v>
      </c>
      <c r="BG30" s="159" t="s">
        <v>3</v>
      </c>
      <c r="BH30" s="160" t="s">
        <v>1</v>
      </c>
      <c r="BI30" s="161" t="s">
        <v>2</v>
      </c>
      <c r="BJ30" s="162" t="s">
        <v>3</v>
      </c>
      <c r="BK30" s="293" t="s">
        <v>1</v>
      </c>
      <c r="BL30" s="163" t="s">
        <v>2</v>
      </c>
      <c r="BM30" s="164" t="s">
        <v>3</v>
      </c>
      <c r="BN30" s="110"/>
      <c r="BO30" s="110"/>
      <c r="BP30" s="111"/>
      <c r="BQ30" s="111"/>
      <c r="BR30" s="111"/>
      <c r="BS30" s="111"/>
      <c r="BT30" s="405"/>
      <c r="BU30" s="405"/>
      <c r="BV30" s="405"/>
      <c r="BW30" s="429"/>
      <c r="BX30" s="426"/>
      <c r="BY30" s="426"/>
      <c r="BZ30" s="499"/>
      <c r="CA30" s="181" t="s">
        <v>2</v>
      </c>
      <c r="CB30" s="2" t="s">
        <v>3</v>
      </c>
      <c r="CC30" s="503"/>
      <c r="CD30" s="181" t="s">
        <v>2</v>
      </c>
      <c r="CE30" s="2" t="s">
        <v>3</v>
      </c>
      <c r="CF30" s="84" t="s">
        <v>7</v>
      </c>
      <c r="CG30" s="84" t="s">
        <v>8</v>
      </c>
      <c r="CH30" s="84" t="s">
        <v>6</v>
      </c>
      <c r="CI30" s="84" t="s">
        <v>7</v>
      </c>
      <c r="CJ30" s="84" t="s">
        <v>8</v>
      </c>
      <c r="CK30" s="84" t="s">
        <v>6</v>
      </c>
      <c r="CL30" s="507"/>
      <c r="CM30" s="507"/>
      <c r="CN30" s="507"/>
      <c r="CO30" s="112" t="s">
        <v>9</v>
      </c>
      <c r="CP30" s="113" t="s">
        <v>12</v>
      </c>
      <c r="CQ30" s="113" t="s">
        <v>84</v>
      </c>
      <c r="CR30" s="113" t="s">
        <v>85</v>
      </c>
      <c r="CS30" s="113" t="s">
        <v>11</v>
      </c>
      <c r="CT30" s="114" t="s">
        <v>10</v>
      </c>
      <c r="CU30" s="115" t="s">
        <v>59</v>
      </c>
      <c r="CV30" s="115" t="s">
        <v>60</v>
      </c>
      <c r="CW30" s="112" t="s">
        <v>61</v>
      </c>
      <c r="CX30" s="113" t="s">
        <v>62</v>
      </c>
      <c r="CY30" s="113" t="s">
        <v>63</v>
      </c>
      <c r="CZ30" s="85">
        <v>58</v>
      </c>
      <c r="DA30" s="85" t="s">
        <v>155</v>
      </c>
      <c r="DB30" s="86" t="s">
        <v>156</v>
      </c>
      <c r="DC30" s="85">
        <v>60</v>
      </c>
      <c r="DD30" s="85" t="s">
        <v>76</v>
      </c>
      <c r="DE30" s="86" t="s">
        <v>64</v>
      </c>
      <c r="DF30" s="85">
        <v>85</v>
      </c>
      <c r="DG30" s="85" t="s">
        <v>77</v>
      </c>
      <c r="DH30" s="86" t="s">
        <v>75</v>
      </c>
      <c r="DI30" s="85">
        <v>65</v>
      </c>
      <c r="DJ30" s="85" t="s">
        <v>78</v>
      </c>
      <c r="DK30" s="86" t="s">
        <v>65</v>
      </c>
      <c r="DL30" s="86"/>
      <c r="DM30" s="85" t="s">
        <v>66</v>
      </c>
      <c r="DN30" s="88" t="s">
        <v>122</v>
      </c>
      <c r="DO30" s="88"/>
      <c r="DP30" s="88"/>
      <c r="DQ30" s="88"/>
      <c r="DR30" s="87"/>
      <c r="DS30" s="87"/>
      <c r="DT30" s="87"/>
      <c r="DU30" s="87"/>
      <c r="DV30" s="87"/>
      <c r="DW30" s="514"/>
      <c r="DX30" s="514"/>
      <c r="DY30" s="34"/>
      <c r="DZ30" s="34"/>
      <c r="EA30" s="34"/>
      <c r="EB30" s="210" t="str">
        <f>LEFT(INDEX(N31:N113,MATCH("●",EB31:EB113,0)),3)</f>
        <v>113</v>
      </c>
      <c r="EC30" s="210" t="str">
        <f>LEFT(INDEX(N31:N113,MATCH("●",EC31:EC113,0)),3)</f>
        <v>113</v>
      </c>
      <c r="ED30" s="210" t="str">
        <f>LEFT(INDEX(N31:N113,MATCH(MIN(AC31:AC113),AC31:AC113,0)),3)</f>
        <v>113</v>
      </c>
      <c r="EE30" s="34"/>
      <c r="EF30" s="34"/>
      <c r="EG30" s="197"/>
      <c r="EH30" s="34"/>
      <c r="EI30" s="108">
        <v>0</v>
      </c>
      <c r="EJ30" s="34"/>
      <c r="EK30" s="405"/>
      <c r="EL30" s="34"/>
      <c r="EM30" s="34"/>
      <c r="EN30" s="314"/>
      <c r="EO30" s="30"/>
      <c r="EP30" s="315"/>
      <c r="EQ30" s="315"/>
      <c r="ET30" s="350">
        <f>MIN(ET31,ET32)</f>
        <v>0</v>
      </c>
    </row>
    <row r="31" spans="1:150" s="29" customFormat="1" ht="15" customHeight="1" thickTop="1">
      <c r="A31" s="143"/>
      <c r="B31" s="215">
        <v>106</v>
      </c>
      <c r="C31" s="26">
        <v>20171231</v>
      </c>
      <c r="D31" s="26" t="str">
        <f>LEFT(C31,4)</f>
        <v>2017</v>
      </c>
      <c r="E31" s="26" t="str">
        <f>MID(C31,5,2)</f>
        <v>12</v>
      </c>
      <c r="F31" s="26" t="str">
        <f>RIGHT(C31,2)</f>
        <v>31</v>
      </c>
      <c r="G31" s="300">
        <f>DATE(D31,E31,F31)</f>
        <v>43100</v>
      </c>
      <c r="H31" s="116">
        <f aca="true" t="shared" si="0" ref="H31:H94">DATEDIF($Z$8,G31,"Y")</f>
        <v>16</v>
      </c>
      <c r="I31" s="116">
        <f>IF(IF(G31=DATE(YEAR(G31),MONTH(G31)+1,1)-1,IF(MONTH(G31)&gt;=MONTH($Z$8),MONTH(G31)-MONTH($Z$8),MONTH(4)+12-MONTH($Z$8)+1),IF(MONTH(G31)&gt;=MONTH($Z$8),MONTH(G31)-MONTH($Z$8)-(DAY(G31)&lt;DAY($Z$8))+12*(MONTH(G31)=MONTH($Z$8)),MONTH(G31)+12-MONTH($Z$8)-(DAY(G31)&lt;DAY($Z$8))))=12,0,IF(G31=DATE(YEAR(G31),MONTH(G31)+1,1)-1,IF(MONTH(G31)&gt;=MONTH($Z$8),MONTH(G31)-MONTH($Z$8),MONTH(4)+12-MONTH($Z$8)+1),IF(MONTH(G31)&gt;=MONTH($Z$8),MONTH(G31)-MONTH($Z$8)-(DAY(G31)&lt;DAY($Z$8))+12*(MONTH(G31)=MONTH($Z$8)),MONTH(G31)+12-MONTH($Z$8)-(DAY(G31)&lt;DAY($Z$8)))))</f>
        <v>4</v>
      </c>
      <c r="J31" s="26">
        <f>IF(BC8=1,"*",IF(G31=DATE(YEAR(G31),MONTH(G31)+1,1)-1,IF($Z$8=DATE(YEAR($Z$8),MONTH($Z$8)+1,1)-1,0,DAY(DATE(YEAR($Z$8),MONTH($Z$8)+1,1)-1)-DAY($Z$8)),IF(DAY(G31)&gt;=DAY($Z$8),DAY(G31)-DAY($Z$8),DATE(YEAR($Z$8),MONTH($Z$8)+1,1)-1-$Z$8+DAY(G31))))</f>
        <v>30</v>
      </c>
      <c r="K31" s="117">
        <f>IF($AD$9+$AD$10=0,H31,INT((((IF(OR(AND(I31+$U$10=11,J31+$W$10&gt;=30),I31+$U$10&gt;11),$S$10+H31+1,$S$10+H31))*12+(IF(AND(I31+$U$10=11,J31+$W$10&gt;=30),0,IF(J31+$W$10&gt;=30,MOD(I31+$U$10,12)+1,MOD(I31+$U$10,12)))))*30+((MOD(J31+$W$10,30)))-($S$9*12+$U$9)*30+$W$9)/360))</f>
        <v>18</v>
      </c>
      <c r="L31" s="117">
        <f>IF($AD$9+$AD$10=0,I31,IF(((MOD(J31+$W$10,30)))&lt;$W$9,MOD((IF(AND(I31+$U$10=11,J31+$W$10&gt;=30),0,IF(J31+$W$10&gt;=30,MOD(I31+$U$10,12)+1,MOD(I31+$U$10,12))))-$U$9-1,12),MOD((IF(AND(I31+$U$10=11,J31+$W$10&gt;=30),0,IF(J31+$W$10&gt;=30,MOD(I31+$U$10,12)+1,MOD(I31+$U$10,12))))-$U$9,12)))</f>
        <v>3</v>
      </c>
      <c r="M31" s="117">
        <f>IF($AD$9+$AD$10=0,J31,MOD((MOD(J31+$W$10,30))-$W$9,30))</f>
        <v>8</v>
      </c>
      <c r="N31" s="562" t="str">
        <f>IF($S$5="公務人員",B31&amp;".1.1~"&amp;B31&amp;".12.31",B31&amp;".1.1~"&amp;B31&amp;".12.31")</f>
        <v>106.1.1~106.12.31</v>
      </c>
      <c r="O31" s="563"/>
      <c r="P31" s="563"/>
      <c r="Q31" s="564"/>
      <c r="R31" s="346">
        <v>75</v>
      </c>
      <c r="S31" s="347">
        <f>DATEDIF(DATE($S$7+1911,$U$7,$W$7),G31,"Y")</f>
        <v>48</v>
      </c>
      <c r="T31" s="348">
        <f>IF($Z$8&gt;G31,0,DATEDIF(DATE($AA$9+1911,$AB$9,$AC$9),G31,"Y"))</f>
        <v>18</v>
      </c>
      <c r="U31" s="349">
        <f>S31+T31</f>
        <v>66</v>
      </c>
      <c r="V31" s="148">
        <f>IF($S$7="","",IF($AN$7&gt;=$AN$8,IF(AH31=0,"",IF(AND(R31&lt;=90,R31&gt;58,AH31&gt;AH30),"★",IF(AND(R31="",AH31&gt;AH30),"★",""))),AT31))</f>
      </c>
      <c r="W31" s="430">
        <f>EP31</f>
      </c>
      <c r="X31" s="402"/>
      <c r="Y31" s="402"/>
      <c r="Z31" s="431"/>
      <c r="AA31" s="276">
        <f>IF($S$7="","",IF(ISERROR(MATCH("●",$AB$31:$AB$113,0))=FALSE,"",IF(S31&gt;65,"",IF(T31&lt;25,"",IF(AND(S31&gt;=50,T31&gt;=25),"●","")))))</f>
      </c>
      <c r="AB31" s="248">
        <f>IF($S$7="","",IF(S31&gt;58,"",IF(T31&lt;25,"",IF(AND(S31&gt;=5,T31&gt;=25,B31&gt;$AC$173),"○",IF(AND(S31&gt;=5,T31&gt;=25),"●",IF(AND(S31&gt;=5,T31&gt;=25,OR(AB30="○",AB30="●")),"○",""))))))</f>
      </c>
      <c r="AC31" s="329">
        <f>IF($S$7="","",IF(BB31="","",IF(BB31="●","★",-1*BB31)))</f>
      </c>
      <c r="AD31" s="102"/>
      <c r="AE31" s="118">
        <f>IF($Y$8&gt;=20180701,0,IF(OR(AND(C31&lt;20270101,S31&gt;=50,T31&gt;=25,U31&gt;=R31),AND(C31&lt;20330101,S31&gt;=55,T31&gt;=25,U31&gt;=R31)),1,0))</f>
        <v>0</v>
      </c>
      <c r="AF31" s="118">
        <f>IF(OR(AND(S31&lt;65,S31&gt;=60,T31&gt;=15),AND(S31&lt;65,S31&gt;=58,T31&gt;=25)),1,0)</f>
        <v>0</v>
      </c>
      <c r="AG31" s="118">
        <f>IF(AND(S31&gt;=65,T31&gt;=15),1,0)</f>
        <v>0</v>
      </c>
      <c r="AH31" s="118">
        <f>IF(OR(AE31+AF31+AG31&gt;0,SUM($AE$30:AG30)&gt;0),1,0)</f>
        <v>0</v>
      </c>
      <c r="AI31" s="118">
        <f>IF(AND(C31&lt;20270101,AE31=1),"符合【年資≧25年&amp;年齡≧50歲】且【年資＋年齡≧當年法定指標數】之擇領全額月退休金條件",IF(AND(C31&lt;20330101,AE31=1),"符合【年資≧25年&amp;年齡≧55歲】且【年資＋年齡≧當年法定指標數】之擇領全額月退休金條件",""))</f>
      </c>
      <c r="AJ31" s="118">
        <f>IF(AE31=1,"",IF(AF31=1,"符合「年齡滿58歲、年資滿25年」或「年齡滿60歲、年資滿15年」之擇領月退休金條件",""))</f>
      </c>
      <c r="AK31" s="118">
        <f>IF(AE31=1,"",IF(AG31=1,"符合「年齡滿65歲、年資滿15年」之擇領月退休金條件",""))</f>
      </c>
      <c r="AL31" s="118">
        <f>CONCATENATE(AI31,AJ31,AK31)</f>
      </c>
      <c r="AM31" s="119">
        <f>IF(AND(S31&gt;=65,T31&lt;15),1,0)</f>
        <v>0</v>
      </c>
      <c r="AN31" s="119">
        <f>IF(AND(S31&gt;=65,T31&gt;=15),1,0)</f>
        <v>0</v>
      </c>
      <c r="AO31" s="119">
        <f>LEFT(AL31,2)</f>
      </c>
      <c r="AP31" s="119">
        <f>S31</f>
        <v>48</v>
      </c>
      <c r="AQ31" s="119">
        <f>C31</f>
        <v>20171231</v>
      </c>
      <c r="AR31" s="119" t="str">
        <f>N31</f>
        <v>106.1.1~106.12.31</v>
      </c>
      <c r="AS31" s="120">
        <f>IF(AP31&gt;65,"",IF($AN$7&gt;$AN$8,"",IF(AM31&gt;0,"★您將於"&amp;AR31&amp;"之間達到屆齡退休限齡，但因年資未滿15年，無法擇領月退休金",IF(AN31&gt;0,"★您將於"&amp;AR31&amp;"之間達到屆齡退休限齡，且因年資已滿15年，可以擇領月退休金",""))))</f>
      </c>
      <c r="AT31" s="121">
        <f>IF(AP31&gt;65,"",IF($AN$7&gt;$AN$8,"",IF(AND(AM31=0,AN31=0),"","★ 您自本區間起，達到屆齡退休限齡")))</f>
      </c>
      <c r="AU31" s="121">
        <f>IF(OR(AND(C31&lt;20270101,S31&gt;=50,T31&gt;=25),AND(C31&lt;20330101,S31&gt;=55,T31&gt;=25),AND(S31&gt;=58,T31&gt;=15),AND(S31=65,T31&gt;=15)),1,0)</f>
        <v>0</v>
      </c>
      <c r="AV31" s="119">
        <f>IF(AU31=AU30,"",IF(AU31=0,"","★"))</f>
      </c>
      <c r="AW31" s="122">
        <f>IF(R31&lt;$AW$24,IF($AN$7&gt;$AN$8,IF(AH31=0,"",IF(AH31=AH30,"","您將在下方推算結果，達到"&amp;AL31)),AS31),IF($AN$7&gt;=$AN$8,IF(AH31=0,"",IF(AH31=AH30,"","您將在下方推算結果，達到"&amp;AL31)),AS31))</f>
      </c>
      <c r="AX31" s="31">
        <f>IF(AND(T31&gt;=25,S31&gt;=58),0,IF(AND(T31&gt;=25,S31&gt;=50),1,0))</f>
        <v>0</v>
      </c>
      <c r="AY31" s="7">
        <f>IF(S31&gt;=65,1,IF(OR(AND(T31&gt;=15,S31&gt;=65),AND(T31&gt;=15,S31&gt;=58)),1,0))</f>
        <v>0</v>
      </c>
      <c r="AZ31" s="123">
        <f>IF(S31&gt;=65,1,IF(AND(T31&gt;=15,S31&gt;=65),1,0))</f>
        <v>0</v>
      </c>
      <c r="BA31" s="123">
        <f>IF(AND(AY32=1,AY31=1),0,IF(AND(AY32=1,AY31=0),0.04,IF(AND(AY33=1,AY31=0),0.08,IF(AND(AY34=1,AY31=0),0.12,IF(AND(AY35=1,AY31=0),0.16,IF(AND(AY36=1,AY31=0),0.2,0))))))</f>
        <v>0</v>
      </c>
      <c r="BB31" s="123">
        <f>IF(T31&lt;25,"",IF(BA30=0.04,"●",IF(BA31&gt;0,BA31,"")))</f>
      </c>
      <c r="BC31" s="33"/>
      <c r="BD31" s="165">
        <v>1</v>
      </c>
      <c r="BE31" s="166">
        <v>81</v>
      </c>
      <c r="BF31" s="167">
        <v>8</v>
      </c>
      <c r="BG31" s="168">
        <v>28</v>
      </c>
      <c r="BH31" s="169">
        <v>82</v>
      </c>
      <c r="BI31" s="170">
        <v>8</v>
      </c>
      <c r="BJ31" s="171">
        <v>1</v>
      </c>
      <c r="BK31" s="294">
        <f aca="true" t="shared" si="1" ref="BK31:BK44">IF(OR(BE31="",BE31=" ",BE31="　",BE31="null"),"",IF(CA31=1,"*",DATEDIF(BN31,BO31,"Y")))</f>
        <v>0</v>
      </c>
      <c r="BL31" s="292">
        <f aca="true" t="shared" si="2" ref="BL31:BL44">IF(OR(BE31="",BE31=" ",BE31="　",BE31="null"),"",IF(CA31=1,"*",DATEDIF(BN31,BO31,"YM")))</f>
        <v>11</v>
      </c>
      <c r="BM31" s="295">
        <f>IF(OR(BE31="",BE31=" ",BE31="　",BE31="null"),"",IF(BG31&lt;DAY(DATE(BH31+1911,BI31,)),DATEDIF(BN31,BO31,"MD"),IF(AND(BG31&gt;DAY(DATE(BH31+1911,BI31,)),BJ31=1),DAY(DATE(BE31+1911,BF31+1,))-BG31+1,IF(OR(AND(BG31&gt;DAY(DATE(BH31+1911,BI31,)),BJ31&gt;1,BJ31&lt;&gt;31,BJ31&lt;BG31),AND(DAY(DATE(BE31+1911,BF31,BG31)+1)=1,BF31&lt;&gt;BI31,BJ31&lt;BG31)),DAY(DATE(BE31+1911,BF31+1,))-BG31+BJ31,DATEDIF(BN31,BO31,"MD")))))</f>
        <v>4</v>
      </c>
      <c r="BN31" s="124">
        <f aca="true" t="shared" si="3" ref="BN31:BN44">IF(OR(BF31&gt;12,AND(OR(BF31=1,BF31=3,BF31=5,BF31=7,BF31=8,BF31=10,BF31=12),BG31&gt;31),AND(OR(BF31=4,BF31=6,BF31=9,BF31=11),BG31&gt;30),AND(BF31=2,MOD(BE31,4)=1,BG31&gt;29),AND(BF31=2,MOD(BE31,4)&lt;&gt;1,BG31&gt;28)),"*",DATE(BE31+1911,BF31,BG31))</f>
        <v>33844</v>
      </c>
      <c r="BO31" s="125">
        <f aca="true" t="shared" si="4" ref="BO31:BO44">IF(OR(BI31&gt;12,AND(OR(BI31=1,BI31=3,BI31=5,BI31=7,BI31=8,BI31=10,BI31=12),BJ31&gt;31),AND(OR(BI31=4,BI31=6,BI31=9,BI31=11),BJ31&gt;30),AND(BI31=2,MOD(BH31,4)=1,BJ31&gt;29),AND(BI31=2,MOD(BH31,4)&lt;&gt;1,BJ31&gt;28)),"*",DATE(BH31+1911,BI31,BJ31))</f>
        <v>34182</v>
      </c>
      <c r="BP31" s="125"/>
      <c r="BQ31" s="126"/>
      <c r="BR31" s="126"/>
      <c r="BS31" s="126"/>
      <c r="BT31" s="127">
        <v>50</v>
      </c>
      <c r="BU31" s="127"/>
      <c r="BV31" s="127"/>
      <c r="BW31" s="179">
        <f aca="true" t="shared" si="5" ref="BW31:BW43">IF($U$9+$U$10+$W$9+$W$10=0,$W$8,IF(AND($U$9-$U$10=0,$W$9-$W$10=0),$W$8,IF(M31=0,1,IF(AND(MOD(D31,4)=0,CD31=2),29-M31+1,IF(AND(MOD(D31,4)&gt;0,CD31=2),28-M31+1,IF(OR(CD31=4,CD31=6,CD31=9,CD31=11),30-M31+1,31-M31+1))))))</f>
        <v>23</v>
      </c>
      <c r="BX31" s="7">
        <f>IF($S$9+$S$10+$U$9+$U$10+$W$9+$W$10=0,$CD$9,IF(AND(L31=0,M31=0),1,IF(AND(L31&gt;0,M31=0),12-L31+1,12-L31)))</f>
        <v>9</v>
      </c>
      <c r="BY31" s="20">
        <v>106</v>
      </c>
      <c r="BZ31" s="2" t="str">
        <f>BY31&amp;"."&amp;CA31&amp;"."&amp;CB31</f>
        <v>106.2.5</v>
      </c>
      <c r="CA31" s="181">
        <f>$U$7</f>
        <v>2</v>
      </c>
      <c r="CB31" s="2">
        <f aca="true" t="shared" si="6" ref="CB31:CB45">$W$7</f>
        <v>5</v>
      </c>
      <c r="CC31" s="2" t="str">
        <f>BY31&amp;"."&amp;CD31&amp;"."&amp;CE31</f>
        <v>106.9.28</v>
      </c>
      <c r="CD31" s="181">
        <f>AB9</f>
        <v>9</v>
      </c>
      <c r="CE31" s="2">
        <f>AC9</f>
        <v>28</v>
      </c>
      <c r="CF31" s="2" t="str">
        <f>IF(CA31&gt;CD31,"初任",IF(CA31&lt;CD31,"生日",IF(CB31&gt;CE31,"初任","生日")))</f>
        <v>生日</v>
      </c>
      <c r="CG31" s="2" t="str">
        <f>IF(CA31&gt;CD31,CC31,IF(CA31&lt;CD31,BZ31,IF(CB31&gt;CE31,CC31,BZ31)))</f>
        <v>106.2.5</v>
      </c>
      <c r="CH31" s="2">
        <f>IF(CF31="生日",CA31,CD31)</f>
        <v>2</v>
      </c>
      <c r="CI31" s="2" t="str">
        <f>IF(CA31&gt;CD31,"生日",IF(CA31&lt;CD31,"初任",IF(CB31&gt;CE31,"生日","初任")))</f>
        <v>初任</v>
      </c>
      <c r="CJ31" s="2" t="str">
        <f>IF(BZ31=CG31,CC31,BZ31)</f>
        <v>106.9.28</v>
      </c>
      <c r="CK31" s="2">
        <f>IF(CI31="生日",CA31,CD31)</f>
        <v>9</v>
      </c>
      <c r="CL31" s="2">
        <f>IF(AW31="",0,1)</f>
        <v>0</v>
      </c>
      <c r="CM31" s="339">
        <f>IF(CL31=0,"",IF(R31="",90,IF(AND(OR(S31=65,AF31=1),OR(AND(C31&lt;=20261231,S31&gt;=50,T31&gt;=25,U31&gt;=R31),AND(C31&lt;=20321231,S31&gt;=55,T31&gt;=25,U31&gt;=R31))),5875,IF(S31=65,65,IF(AF31=1,90,IF(OR(AND(C31&lt;=20261231,S31&gt;=50,T31&gt;=25,U31&gt;=R31),AND(C31&lt;=20321231,S31&gt;=55,T31&gt;=25,U31&gt;=R31)),75))))))</f>
      </c>
      <c r="CN31" s="2">
        <f>IF(CM31="","",IF(R31="","",U31-R31))</f>
      </c>
      <c r="CO31" s="2">
        <f>IF(CN31=0,CJ31,"")</f>
      </c>
      <c r="CP31" s="2">
        <f>IF(CO31=BZ31,CA31,IF(CO31=CC31,CD31,""))</f>
      </c>
      <c r="CQ31" s="2">
        <f>IF(CP31="","",IF(CP31=1,BY31&amp;".2.1。【說明：原實際條件成就之日期為"&amp;CO31&amp;"，惟因須配合學期而延至當學期結束之次日，始能退休生效，爰推算為"&amp;BY31&amp;".2.1】",IF(AND(CP31&lt;=7,CP31&gt;1),BY31&amp;".8.1。【說明：原實際條件成就之日期為"&amp;CO31&amp;"，惟因須配合學期而延至當學年度結束之次日，始能退休生效，爰推算為"&amp;BY31&amp;".8.1】",IF(OR(AND(CP31&gt;7,OR(CA31=1,CD31=1)),AND(CP31&gt;7,OR(RIGHT(BZ31,4)=".2.1",RIGHT(CC31,4)=".2.1"))),BY31+1&amp;".2.1。【說明：原實際條件成就之日期為"&amp;CO31&amp;"，惟因須配合學期而延至當學期結束之次日，始能退休生效，爰推算為"&amp;BY31+1&amp;".2.1】",""))))</f>
      </c>
      <c r="CR31" s="2">
        <f aca="true" t="shared" si="7" ref="CR31:CR94">IF(CP31="","",IF(CQ31="",IF(OR(AND(CP31&gt;7,OR(AND(CA31&gt;1,CA31&lt;=7),AND(CD31&gt;1,CD31&lt;=7))),AND(CP31&gt;7,OR(RIGHT(BZ31,4)=".8.1",RIGHT(CC31,4)=".8.1"))),BY31+1&amp;".8.1。【說明：原實際條件成就之日期為"&amp;CO31&amp;"，惟因須配合學期暨受次年度指標數增加或過渡期結束之影響，而必須二次遞延至當學年度結束之次日，始能退休生效，爰推算為"&amp;BY31+1&amp;".8.1】",BY31+2&amp;".2.1。【說明：原實際條件成就之日期為"&amp;CO31&amp;"，惟因須配合學期暨受次年度指標數增加或過渡期結束之影響，而必須三次遞延至次學年度第一學期結束之次日，始能退休生效，爰推算為"&amp;BY31+2&amp;".2.1】"),""))</f>
      </c>
      <c r="CS31" s="128">
        <f aca="true" t="shared" si="8" ref="CS31:CS94">IF(CP31="","",IF(RIGHT(CO31,4)=".8.1",BY31&amp;".8.1",IF(RIGHT(CO31,4)=".2.1",BY31&amp;".2.1",CQ31&amp;CR31)))</f>
      </c>
      <c r="CT31" s="2">
        <f>IF(AND(CN31=1,S31=BT31,T31&gt;25),BZ31,IF(AND(CN31=1,S31&gt;BT31,T31=25),CC31,IF(AND(CN31=1,S31&gt;BT31,T31&gt;25),BY31&amp;".1.1","")))</f>
      </c>
      <c r="CU31" s="2">
        <f>IF(CT31=BY31&amp;".1.1",1,IF(CT31=BZ31,CA31,IF(CT31=CC31,CD31,"")))</f>
      </c>
      <c r="CV31" s="128">
        <f>IF(CU31="","",IF(RIGHT(CT31,4)=".8.1",BY31&amp;".8.1",IF(RIGHT(CT31,4)=".2.1",BY31&amp;".2.1",IF(CU31=1,BY31&amp;".2.1。【說明：原實際條件成就時間為"&amp;CT31&amp;"，惟因必須配合學期而延至當學期結束之次日，始能退休生效，爰推算為"&amp;BY31&amp;".2.1】",IF(AND(CU31&gt;1,CU31&lt;=7),BY31&amp;".8.1。【說明：原實際條件成就時間為"&amp;CT31&amp;"，惟因必須配合學期而延至當學期結束之次日，始能退休生效，爰推算為"&amp;BY31&amp;".8.1】",BY31+1&amp;".2.1。【說明：實際條件成就時間為"&amp;CT31&amp;"，惟因必須配合學期而延至當學期結束之次日，始能退休生效，爰推算為"&amp;BY31+1&amp;".2.1】")))))</f>
      </c>
      <c r="CW31" s="2">
        <f>IF(AND(CN31&gt;=2,S31=BT31,T31&gt;25),BZ31,IF(AND(CN31&gt;=2,S31&gt;BT31,T31=25),CC31,IF(AND(CN31&gt;=2,S31&gt;BT31,T31&gt;25),BY31&amp;".1.1","")))</f>
      </c>
      <c r="CX31" s="2">
        <f>IF(CW31=BY31&amp;".1.1",1,IF(CW31=BZ31,CA31,IF(CW31=CC31,CD31,"")))</f>
      </c>
      <c r="CY31" s="128">
        <f>IF(CX31="","",IF(RIGHT(CW31,4)=".8.1",BY31&amp;".8.1",IF(RIGHT(CW31,4)=".2.1",BY31&amp;".2.1",IF(AND(BY31&lt;=107,CW31=BY31&amp;".1.1"),BY31&amp;".1.1"&amp;"以前。【說明：亦即新法案施行前已符規定，可擇領月退休金之退休日期，在緩衝期間將不受新法案影響】",IF(CX31=1,BY31&amp;".2.1。【說明：原實際條件成就時間為"&amp;CW31&amp;"，惟因必須配合學期而延至當學期結束之次日，始能退休生效，爰推算為"&amp;BY31&amp;".2.1】",IF(AND(CX31&lt;=7,CX31&gt;1),BY31&amp;".8.1。【說明：原實際條件成就時間為"&amp;CW31&amp;"，惟因必須配合學期而延至當學期結束之次日，始能退休生效，爰推算為"&amp;BY31&amp;".8.1】",BY31+1&amp;".2.1。【說明：原實際條件成就時間為"&amp;CW31&amp;"，惟因必須配合學期而延至當學期結束之次日，始能退休生效，爰推算為"&amp;BY31+1&amp;".2.1】"))))))</f>
      </c>
      <c r="CZ31" s="2">
        <f>IF(AND(OR(CM31=90,CM31=5875),S31=58,T31=25),CK31,IF(AND(OR(CM31=90,CM31=5875),S31&gt;58,T31=25),CD31,IF(AND(OR(CM31=90,CM31=5875),S31=58,T31&gt;25),CA31,"")))</f>
      </c>
      <c r="DA31" s="2">
        <f>IF(AND(OR(CM31=90,CM31=5875),S31=58,T31=25),CJ31,IF(AND(OR(CM31=90,CM31=5875),S31&gt;58,T31=25),CC31,IF(AND(OR(CM31=90,CM31=5875),S31=58,T31&gt;25),BZ31,"")))</f>
      </c>
      <c r="DB31" s="128">
        <f>IF(CZ31="","",IF(RIGHT(DA31,4)=".8.1",BY31&amp;".8.1",IF(RIGHT(DA31,4)=".2.1",BY31&amp;".2.1",IF(CZ31=1,BY31&amp;".2.1。【說明：原實際條件成就時間為"&amp;DA31&amp;"，惟因必須配合學期而延至當學期結束之次日，始能退休生效，爰推算為"&amp;BY31&amp;".2.1】",IF(AND(CZ31&lt;=7,CZ31&gt;1),BY31&amp;".8.1。【說明：原實際條件成就時間為"&amp;DA31&amp;"，惟因必須配合學期而延至當學期結束之次日，始能退休生效，爰推算為"&amp;BY31&amp;".8.1】",BY31+1&amp;".2.1。【說明：原實際條件成就時間為"&amp;DA31&amp;"，惟因必須配合學期而延至當學期結束之次日，始能退休生效，爰推算為"&amp;BY31+1&amp;".2.1】")))))</f>
      </c>
      <c r="DC31" s="2">
        <f>IF(AND(OR(CM31=90,CM31=5875),S31=60,T31=15),CK31,IF(AND(OR(CM31=90,CM31=5875),S31&gt;60,T31=15),CD31,IF(AND(OR(CM31=90,CM31=5875),S31=60,T31&gt;15),CA31,"")))</f>
      </c>
      <c r="DD31" s="2">
        <f>IF(AND(OR(CM31=90,CM31=5875),S31=60,T31=15),CJ31,IF(AND(OR(CM31=90,CM31=5875),S31&gt;60,T31=15),CC31,IF(AND(OR(CM31=90,CM31=5875),S31=60,T31&gt;15),BZ31,"")))</f>
      </c>
      <c r="DE31" s="128">
        <f>IF(DC31="","",IF(RIGHT(DD31,4)=".8.1",BY31&amp;".8.1",IF(RIGHT(DD31,4)=".2.1",BY31&amp;".2.1",IF(DC31=1,BY31&amp;".2.1。【說明：原實際條件成就時間為"&amp;DD31&amp;"，惟因必須配合學期而延至當學期結束之次日，始能退休生效，爰推算為"&amp;BY31&amp;".2.1】",IF(AND(DC31&lt;=7,DC31&gt;1),BY31&amp;".8.1。【說明：原實際條件成就時間為"&amp;DD31&amp;"，惟因必須配合學期而延至當學期結束之次日，始能退休生效，爰推算為"&amp;BY31&amp;".8.1】",BY31+1&amp;".2.1。【說明：原實際條件成就時間為"&amp;DD31&amp;"，惟因必須配合學期而延至當學期結束之次日，始能退休生效，爰推算為"&amp;BY31+1&amp;".2.1】")))))</f>
      </c>
      <c r="DF31" s="2"/>
      <c r="DG31" s="2"/>
      <c r="DH31" s="128"/>
      <c r="DI31" s="2">
        <f>IF(OR(OR(AND(C31&lt;=20261231,S31=65,T31&gt;=25,U31&gt;=R31),AND(C31&lt;=20321231,S31=65,T31&gt;=25,U31&gt;=R31)),CM31=65),CA31,"")</f>
      </c>
      <c r="DJ31" s="2">
        <f>IF(OR(OR(AND(C31&lt;=20261231,S31=65,T31&gt;=25,U31&gt;=R31),AND(C31&lt;=20321231,S31=65,T31&gt;=25,U31&gt;=R31)),CM31=65),BZ31,"")</f>
      </c>
      <c r="DK31" s="128">
        <f>IF(DI31="","",IF(RIGHT(DJ31,4)=".8.1",BY31&amp;".8.1",IF(RIGHT(DJ31,4)=".2.1",BY31&amp;".2.1",IF(DI31=1,BY31&amp;".2.1。【說明：原實際條件成就時間為"&amp;DJ31&amp;"，惟因必須配合學期而延至當學期結束之次日，始能退休生效，爰推算為"&amp;BY31&amp;".2.1】",IF(AND(DI31&lt;=7,DI31&gt;1),BY31&amp;".8.1。【說明：原實際條件成就時間為"&amp;DJ31&amp;"，惟因必須配合學期而延至當學年度結束之次日，始能退休生效，爰推算為"&amp;BY31&amp;".8.1】",BY31+1&amp;".2.1。【說明：原實際條件成就時間為"&amp;DJ31&amp;"，惟因必須配合學期而延至當學期結束之次日，始能退休生效，爰推算為"&amp;BY31+1&amp;".2.1】")))))</f>
      </c>
      <c r="DL31" s="128"/>
      <c r="DM31" s="21">
        <f>CONCATENATE(CS31,CV31,CY31,DB31,DE31,DH31,DK31)</f>
      </c>
      <c r="DN31" s="2">
        <f>CONCATENATE(CO31,CT31,CW31,DA31,DD31,DG31,DJ31)</f>
      </c>
      <c r="DO31" s="2"/>
      <c r="DP31" s="2"/>
      <c r="DQ31" s="2"/>
      <c r="DR31" s="2"/>
      <c r="DS31" s="2"/>
      <c r="DT31" s="2"/>
      <c r="DU31" s="2"/>
      <c r="DV31" s="10"/>
      <c r="DW31" s="2">
        <f>IF(DM31="","",VALUE(LEFT(DM31,3)))</f>
      </c>
      <c r="DX31" s="2">
        <f>IF(DW31="","",IF(AND(R31&lt;=90,R31&gt;58,DW31&gt;=122),"◆但@*%#...喔麥尬～上開生效日期已逾121年底的過渡期，仍否再適用指標數規定，恐有疑義！",""))</f>
      </c>
      <c r="DY31" s="34"/>
      <c r="DZ31" s="7">
        <f>IF(AND(T31&gt;=25,S31&gt;=55),1,0)</f>
        <v>0</v>
      </c>
      <c r="EA31" s="123">
        <f>IF(T31&gt;=25,IF(AND(DZ32=1,DZ31=1),0,IF(AND(DZ32=1,DZ31=0),0.04,IF(AND(DZ33=1,DZ31=0),0.08,IF(AND(DZ34=1,DZ31=0),0.12,IF(AND(DZ35=1,DZ31=0),0.16,IF(AND(DZ36=1,DZ31=0),0.2,0)))))),0)</f>
        <v>0</v>
      </c>
      <c r="EB31" s="211">
        <f>IF(AND(S31&gt;60,T31&gt;=25),"",IF(AND(S31&gt;=50,T31&gt;=25),"●",""))</f>
      </c>
      <c r="EC31" s="210">
        <f>IF(AND(S31&gt;60,T31&gt;=25),"",IF(AND(S31&gt;=50,T31&gt;=25),"●",""))</f>
      </c>
      <c r="ED31" s="210">
        <f>IF(AND(T31&gt;=25,S31&gt;=55),-1*BB31,"")</f>
      </c>
      <c r="EE31" s="34">
        <v>8</v>
      </c>
      <c r="EF31" s="183">
        <v>8</v>
      </c>
      <c r="EG31" s="34">
        <v>8</v>
      </c>
      <c r="EH31" s="34"/>
      <c r="EI31" s="118">
        <f>IF($Y$8&gt;=20180701,0,IF(AND(C31&lt;20330101,S31&gt;=55,T31&gt;=25,U31&gt;=R31),1,0))</f>
        <v>0</v>
      </c>
      <c r="EJ31" s="34"/>
      <c r="EK31" s="313">
        <f>BT31</f>
        <v>50</v>
      </c>
      <c r="EL31" s="34"/>
      <c r="EM31" s="34"/>
      <c r="EN31" s="30">
        <f>IF($S$7="","",IF($AN$7&gt;=$AN$8,IF(AH31=0,"",IF(AND(R31&lt;=90,R31&gt;58,AH31&gt;AH30),"已達法定指標，但可申請退休日期應參閱上方【分析結果】",IF(AND(R31="",AH31&gt;AH30),"已符基本條件，但可申請退休日期應參閱上方【分析結果】",""))),AT31))</f>
      </c>
      <c r="EO31" s="30">
        <f aca="true" t="shared" si="9" ref="EO31:EO70">IF(OR(EN31="已達法定指標，但可申請退休日期應參閱上方【分析結果】",EN31="已符基本條件，但可申請退休日期應參閱上方【分析結果】",S31&gt;66),"",IF(S31=66,"已逾屆齡退休限齡",IF(S31=65,"已達屆齡退休限齡",IF(AND(B31&gt;$EO$27,AE31+AF31+AG31&gt;0),"本區間內仍符合，但實際退休日期須配合條件成就時間及學期",IF(AND(B31&gt;$EO$27,AE31+AF31+AG31=0),"不符!!","")))))</f>
      </c>
      <c r="EP31" s="20">
        <f>CONCATENATE(EN31,EO31)</f>
      </c>
      <c r="EQ31" s="315"/>
      <c r="ET31" s="350">
        <f>IF(AND(S31=50,T31=25),MAX(DATE(B31+1911,U7,W7),DATE(B31+1911,AB9,AC9)),IF(AND(S31=50,T31&gt;25),DATE(B31+1911,U7,W7),IF(AND(S31&gt;50,T31=25),DATE(B31+1911,AB9,AC9),IF(AND(S31&gt;50,T31&gt;25),MIN(DATE(B31+1911,U7,W7),DATE(B31+1911,AB9,AC9)),""))))</f>
      </c>
    </row>
    <row r="32" spans="1:151" s="29" customFormat="1" ht="15" customHeight="1" thickBot="1">
      <c r="A32" s="143"/>
      <c r="B32" s="215">
        <v>107</v>
      </c>
      <c r="C32" s="26">
        <v>20180630</v>
      </c>
      <c r="D32" s="26" t="str">
        <f aca="true" t="shared" si="10" ref="D32:D95">LEFT(C32,4)</f>
        <v>2018</v>
      </c>
      <c r="E32" s="26" t="str">
        <f aca="true" t="shared" si="11" ref="E32:E95">MID(C32,5,2)</f>
        <v>06</v>
      </c>
      <c r="F32" s="26" t="str">
        <f aca="true" t="shared" si="12" ref="F32:F95">RIGHT(C32,2)</f>
        <v>30</v>
      </c>
      <c r="G32" s="300">
        <f aca="true" t="shared" si="13" ref="G32:G95">DATE(D32,E32,F32)</f>
        <v>43281</v>
      </c>
      <c r="H32" s="116">
        <f t="shared" si="0"/>
        <v>16</v>
      </c>
      <c r="I32" s="116">
        <f aca="true" t="shared" si="14" ref="I32:I95">IF(IF(G32=DATE(YEAR(G32),MONTH(G32)+1,1)-1,IF(MONTH(G32)&gt;=MONTH($Z$8),MONTH(G32)-MONTH($Z$8),MONTH(4)+12-MONTH($Z$8)+1),IF(MONTH(G32)&gt;=MONTH($Z$8),MONTH(G32)-MONTH($Z$8)-(DAY(G32)&lt;DAY($Z$8))+12*(MONTH(G32)=MONTH($Z$8)),MONTH(G32)+12-MONTH($Z$8)-(DAY(G32)&lt;DAY($Z$8))))=12,0,IF(G32=DATE(YEAR(G32),MONTH(G32)+1,1)-1,IF(MONTH(G32)&gt;=MONTH($Z$8),MONTH(G32)-MONTH($Z$8),MONTH(4)+12-MONTH($Z$8)+1),IF(MONTH(G32)&gt;=MONTH($Z$8),MONTH(G32)-MONTH($Z$8)-(DAY(G32)&lt;DAY($Z$8))+12*(MONTH(G32)=MONTH($Z$8)),MONTH(G32)+12-MONTH($Z$8)-(DAY(G32)&lt;DAY($Z$8)))))</f>
        <v>6</v>
      </c>
      <c r="J32" s="26">
        <f>IF(BC9=1,"*",IF(G32=DATE(YEAR(G32),MONTH(G32)+1,1)-1,IF($Z$8=DATE(YEAR($Z$8),MONTH($Z$8)+1,1)-1,0,DAY(DATE(YEAR($Z$8),MONTH($Z$8)+1,1)-1)-DAY($Z$8)),IF(DAY(G32)&gt;=DAY($Z$8),DAY(G32)-DAY($Z$8),DATE(YEAR($Z$8),MONTH($Z$8)+1,1)-1-$Z$8+DAY(G32))))</f>
        <v>30</v>
      </c>
      <c r="K32" s="117">
        <f aca="true" t="shared" si="15" ref="K32:K95">IF($AD$9+$AD$10=0,H32,INT((((IF(OR(AND(I32+$U$10=11,J32+$W$10&gt;=30),I32+$U$10&gt;11),$S$10+H32+1,$S$10+H32))*12+(IF(AND(I32+$U$10=11,J32+$W$10&gt;=30),0,IF(J32+$W$10&gt;=30,MOD(I32+$U$10,12)+1,MOD(I32+$U$10,12)))))*30+((MOD(J32+$W$10,30)))-($S$9*12+$U$9)*30+$W$9)/360))</f>
        <v>18</v>
      </c>
      <c r="L32" s="117">
        <f aca="true" t="shared" si="16" ref="L32:L95">IF($AD$9+$AD$10=0,I32,IF(((MOD(J32+$W$10,30)))&lt;$W$9,MOD((IF(AND(I32+$U$10=11,J32+$W$10&gt;=30),0,IF(J32+$W$10&gt;=30,MOD(I32+$U$10,12)+1,MOD(I32+$U$10,12))))-$U$9-1,12),MOD((IF(AND(I32+$U$10=11,J32+$W$10&gt;=30),0,IF(J32+$W$10&gt;=30,MOD(I32+$U$10,12)+1,MOD(I32+$U$10,12))))-$U$9,12)))</f>
        <v>5</v>
      </c>
      <c r="M32" s="117">
        <f aca="true" t="shared" si="17" ref="M32:M95">IF($AD$9+$AD$10=0,J32,MOD((MOD(J32+$W$10,30))-$W$9,30))</f>
        <v>8</v>
      </c>
      <c r="N32" s="539" t="str">
        <f>IF($S$5="公務人員",B32&amp;".1.1~"&amp;B32&amp;".12.31",B32&amp;".1.1~"&amp;B32&amp;".6.30")</f>
        <v>107.1.1~107.6.30</v>
      </c>
      <c r="O32" s="540"/>
      <c r="P32" s="540"/>
      <c r="Q32" s="541"/>
      <c r="R32" s="364">
        <v>75</v>
      </c>
      <c r="S32" s="365">
        <f aca="true" t="shared" si="18" ref="S32:S95">DATEDIF(DATE($S$7+1911,$U$7,$W$7),G32,"Y")</f>
        <v>49</v>
      </c>
      <c r="T32" s="366">
        <f aca="true" t="shared" si="19" ref="T32:T95">IF($Z$8&gt;G32,0,DATEDIF(DATE($AA$9+1911,$AB$9,$AC$9),G32,"Y"))</f>
        <v>18</v>
      </c>
      <c r="U32" s="367">
        <f aca="true" t="shared" si="20" ref="U32:U95">S32+T32</f>
        <v>67</v>
      </c>
      <c r="V32" s="148">
        <f aca="true" t="shared" si="21" ref="V32:V95">IF($S$7="","",IF($AN$7&gt;=$AN$8,IF(AH32=0,"",IF(AND(R32&lt;=90,R32&gt;58,AH32&gt;AH31),"★",IF(AND(R32="",AH32&gt;AH31),"★",""))),AT32))</f>
      </c>
      <c r="W32" s="430">
        <f aca="true" t="shared" si="22" ref="W32:W70">EP32</f>
      </c>
      <c r="X32" s="402"/>
      <c r="Y32" s="402"/>
      <c r="Z32" s="431"/>
      <c r="AA32" s="276">
        <f aca="true" t="shared" si="23" ref="AA32:AA95">IF($S$7="","",IF(ISERROR(MATCH("●",$AB$31:$AB$113,0))=FALSE,"",IF(S32&gt;65,"",IF(T32&lt;25,"",IF(AND(S32&gt;=50,T32&gt;=25),"●","")))))</f>
      </c>
      <c r="AB32" s="249">
        <f aca="true" t="shared" si="24" ref="AB32:AB95">IF($S$7="","",IF(S32&gt;58,"",IF(T32&lt;25,"",IF(AND(S32&gt;=5,T32&gt;=25,B32&gt;$AC$173),"○",IF(AND(S32&gt;=5,T32&gt;=25),"●",IF(AND(S32&gt;=5,T32&gt;=25,OR(AB31="○",AB31="●")),"○",""))))))</f>
      </c>
      <c r="AC32" s="330">
        <f aca="true" t="shared" si="25" ref="AC32:AC95">IF($S$7="","",IF(BB32="","",IF(BB32="●","★",-1*BB32)))</f>
      </c>
      <c r="AD32" s="102"/>
      <c r="AE32" s="118">
        <f aca="true" t="shared" si="26" ref="AE32:AE95">IF($Y$8&gt;=20180701,0,IF(OR(AND(C32&lt;20270101,S32&gt;=50,T32&gt;=25,U32&gt;=R32),AND(C32&lt;20330101,S32&gt;=55,T32&gt;=25,U32&gt;=R32)),1,0))</f>
        <v>0</v>
      </c>
      <c r="AF32" s="118">
        <f aca="true" t="shared" si="27" ref="AF32:AF95">IF(OR(AND(S32&lt;65,S32&gt;=60,T32&gt;=15),AND(S32&lt;65,S32&gt;=58,T32&gt;=25)),1,0)</f>
        <v>0</v>
      </c>
      <c r="AG32" s="118">
        <f aca="true" t="shared" si="28" ref="AG32:AG70">IF(AND(S32&gt;=65,T32&gt;=15),1,0)</f>
        <v>0</v>
      </c>
      <c r="AH32" s="118">
        <f>IF(OR(AE32+AF32+AG32&gt;0,SUM($AE$30:AG31)&gt;0),1,0)</f>
        <v>0</v>
      </c>
      <c r="AI32" s="118">
        <f aca="true" t="shared" si="29" ref="AI32:AI95">IF(AND(C32&lt;20270101,AE32=1),"符合【年資≧25年&amp;年齡≧50歲】且【年資＋年齡≧當年法定指標數】之擇領全額月退休金條件",IF(AND(C32&lt;20330101,AE32=1),"符合【年資≧25年&amp;年齡≧55歲】且【年資＋年齡≧當年法定指標數】之擇領全額月退休金條件",""))</f>
      </c>
      <c r="AJ32" s="118">
        <f aca="true" t="shared" si="30" ref="AJ32:AJ95">IF(AE32=1,"",IF(AF32=1,"符合「年齡滿58歲、年資滿25年」或「年齡滿60歲、年資滿15年」之擇領月退休金條件",""))</f>
      </c>
      <c r="AK32" s="118">
        <f aca="true" t="shared" si="31" ref="AK32:AK95">IF(AE32=1,"",IF(AG32=1,"符合「年齡滿65歲、年資滿15年」之擇領月退休金條件",""))</f>
      </c>
      <c r="AL32" s="118">
        <f aca="true" t="shared" si="32" ref="AL32:AL68">CONCATENATE(AI32,AJ32,AK32)</f>
      </c>
      <c r="AM32" s="119">
        <f aca="true" t="shared" si="33" ref="AM32:AM68">IF(AND(S32&gt;=65,T32&lt;15),1,0)</f>
        <v>0</v>
      </c>
      <c r="AN32" s="119">
        <f aca="true" t="shared" si="34" ref="AN32:AN68">IF(AND(S32&gt;=65,T32&gt;=15),1,0)</f>
        <v>0</v>
      </c>
      <c r="AO32" s="119">
        <f aca="true" t="shared" si="35" ref="AO32:AO68">LEFT(AL32,2)</f>
      </c>
      <c r="AP32" s="119">
        <f aca="true" t="shared" si="36" ref="AP32:AP68">S32</f>
        <v>49</v>
      </c>
      <c r="AQ32" s="119">
        <f aca="true" t="shared" si="37" ref="AQ32:AQ68">C32</f>
        <v>20180630</v>
      </c>
      <c r="AR32" s="119" t="str">
        <f aca="true" t="shared" si="38" ref="AR32:AR68">N32</f>
        <v>107.1.1~107.6.30</v>
      </c>
      <c r="AS32" s="120">
        <f aca="true" t="shared" si="39" ref="AS32:AS95">IF(AP32&gt;65,"",IF($AN$7&gt;$AN$8,"",IF(AM32&gt;0,"★您將於"&amp;AR32&amp;"之間達到屆齡退休限齡，但因年資未滿15年，無法擇領月退休金",IF(AN32&gt;0,"★您將於"&amp;AR32&amp;"之間達到屆齡退休限齡，且因年資已滿15年，可以擇領月退休金",""))))</f>
      </c>
      <c r="AT32" s="121">
        <f aca="true" t="shared" si="40" ref="AT32:AT68">IF(AP32&gt;65,"",IF($AN$7&gt;$AN$8,"",IF(AND(AM32=0,AN32=0),"","★ 您自本區間起，達到屆齡退休限齡")))</f>
      </c>
      <c r="AU32" s="121">
        <f aca="true" t="shared" si="41" ref="AU32:AU95">IF(OR(AND(C32&lt;20270101,S32&gt;=50,T32&gt;=25),AND(C32&lt;20330101,S32&gt;=55,T32&gt;=25),AND(S32&gt;=58,T32&gt;=15),AND(S32=65,T32&gt;=15)),1,0)</f>
        <v>0</v>
      </c>
      <c r="AV32" s="119">
        <f aca="true" t="shared" si="42" ref="AV32:AV95">IF(AU32=AU31,"",IF(AU32=0,"","★"))</f>
      </c>
      <c r="AW32" s="122">
        <f aca="true" t="shared" si="43" ref="AW32:AW95">IF(R32&lt;$AW$24,IF($AN$7&gt;$AN$8,IF(AH32=0,"",IF(AH32=AH31,"","您將在下方推算結果，達到"&amp;AL32)),AS32),IF($AN$7&gt;=$AN$8,IF(AH32=0,"",IF(AH32=AH31,"","您將在下方推算結果，達到"&amp;AL32)),AS32))</f>
      </c>
      <c r="AX32" s="31">
        <f aca="true" t="shared" si="44" ref="AX32:AX95">IF(AND(T32&gt;=25,S32&gt;=58),0,IF(AND(T32&gt;=25,S32&gt;=50),1,0))</f>
        <v>0</v>
      </c>
      <c r="AY32" s="7">
        <f aca="true" t="shared" si="45" ref="AY32:AY95">IF(S32&gt;=65,1,IF(OR(AND(T32&gt;=15,S32&gt;=65),AND(T32&gt;=15,S32&gt;=58)),1,0))</f>
        <v>0</v>
      </c>
      <c r="AZ32" s="123">
        <f aca="true" t="shared" si="46" ref="AZ32:AZ95">IF(S32&gt;=65,1,IF(AND(T32&gt;=15,S32&gt;=65),1,0))</f>
        <v>0</v>
      </c>
      <c r="BA32" s="123">
        <f aca="true" t="shared" si="47" ref="BA32:BA95">IF(AND(AY33=1,AY32=1),0,IF(AND(AY33=1,AY32=0),0.04,IF(AND(AY34=1,AY32=0),0.08,IF(AND(AY35=1,AY32=0),0.12,IF(AND(AY36=1,AY32=0),0.16,IF(AND(AY37=1,AY32=0),0.2,0))))))</f>
        <v>0</v>
      </c>
      <c r="BB32" s="123">
        <f aca="true" t="shared" si="48" ref="BB32:BB95">IF(T32&lt;25,"",IF(BA31=0.04,"●",IF(BA32&gt;0,BA32,"")))</f>
      </c>
      <c r="BC32" s="33"/>
      <c r="BD32" s="165">
        <v>2</v>
      </c>
      <c r="BE32" s="166">
        <v>82</v>
      </c>
      <c r="BF32" s="167">
        <v>8</v>
      </c>
      <c r="BG32" s="168">
        <v>28</v>
      </c>
      <c r="BH32" s="169">
        <v>83</v>
      </c>
      <c r="BI32" s="170">
        <v>8</v>
      </c>
      <c r="BJ32" s="171">
        <v>1</v>
      </c>
      <c r="BK32" s="294">
        <f t="shared" si="1"/>
        <v>0</v>
      </c>
      <c r="BL32" s="292">
        <f t="shared" si="2"/>
        <v>11</v>
      </c>
      <c r="BM32" s="295">
        <f aca="true" t="shared" si="49" ref="BM32:BM44">IF(OR(BE32="",BE32=" ",BE32="　",BE32="null"),"",IF(BG32&lt;DAY(DATE(BH32+1911,BI32,)),DATEDIF(BN32,BO32,"MD"),IF(AND(BG32&gt;DAY(DATE(BH32+1911,BI32,)),BJ32=1),DAY(DATE(BE32+1911,BF32+1,))-BG32+1,IF(OR(AND(BG32&gt;DAY(DATE(BH32+1911,BI32,)),BJ32&gt;1,BJ32&lt;&gt;31),AND(DAY(DATE(BE32+1911,BF32,BG32)+1)=1,BF32&lt;&gt;BI32,BJ32&lt;BG32)),DAY(DATE(BE32+1911,BF32+1,))-BG32+BJ32,DATEDIF(BN32,BO32,"MD")))))</f>
        <v>4</v>
      </c>
      <c r="BN32" s="124">
        <f t="shared" si="3"/>
        <v>34209</v>
      </c>
      <c r="BO32" s="125">
        <f t="shared" si="4"/>
        <v>34547</v>
      </c>
      <c r="BP32" s="125"/>
      <c r="BQ32" s="126"/>
      <c r="BR32" s="126"/>
      <c r="BS32" s="126"/>
      <c r="BT32" s="127">
        <v>50</v>
      </c>
      <c r="BU32" s="127"/>
      <c r="BV32" s="127"/>
      <c r="BW32" s="179">
        <f t="shared" si="5"/>
        <v>23</v>
      </c>
      <c r="BX32" s="7">
        <f aca="true" t="shared" si="50" ref="BX32:BX45">IF($S$9+$S$10+$U$9+$U$10+$W$9+$W$10=0,$CD$9,IF(AND(L32=0,M32=0),1,IF(AND(L32&gt;0,M32=0),12-L32+1,12-L32)))</f>
        <v>7</v>
      </c>
      <c r="BY32" s="20">
        <f aca="true" t="shared" si="51" ref="BY32:BY94">IF($S$5="公務人員",D32-1911,D32-1911)</f>
        <v>107</v>
      </c>
      <c r="BZ32" s="2" t="str">
        <f aca="true" t="shared" si="52" ref="BZ32:BZ95">BY32&amp;"."&amp;CA32&amp;"."&amp;CB32</f>
        <v>107.2.5</v>
      </c>
      <c r="CA32" s="181">
        <f aca="true" t="shared" si="53" ref="CA32:CA95">$U$7</f>
        <v>2</v>
      </c>
      <c r="CB32" s="2">
        <f t="shared" si="6"/>
        <v>5</v>
      </c>
      <c r="CC32" s="2" t="str">
        <f aca="true" t="shared" si="54" ref="CC32:CC95">BY32&amp;"."&amp;CD32&amp;"."&amp;CE32</f>
        <v>107.9.28</v>
      </c>
      <c r="CD32" s="181">
        <f>CD31</f>
        <v>9</v>
      </c>
      <c r="CE32" s="2">
        <f>CE31</f>
        <v>28</v>
      </c>
      <c r="CF32" s="2" t="str">
        <f aca="true" t="shared" si="55" ref="CF32:CF45">IF(CA32&gt;CD32,"初任",IF(CA32&lt;CD32,"生日",IF(CB32&gt;CE32,"初任","生日")))</f>
        <v>生日</v>
      </c>
      <c r="CG32" s="2" t="str">
        <f aca="true" t="shared" si="56" ref="CG32:CG45">IF(CA32&gt;CD32,CC32,IF(CA32&lt;CD32,BZ32,IF(CB32&gt;CE32,CC32,BZ32)))</f>
        <v>107.2.5</v>
      </c>
      <c r="CH32" s="2">
        <f aca="true" t="shared" si="57" ref="CH32:CH45">IF(CF32="生日",CA32,CD32)</f>
        <v>2</v>
      </c>
      <c r="CI32" s="2" t="str">
        <f aca="true" t="shared" si="58" ref="CI32:CI45">IF(CA32&gt;CD32,"生日",IF(CA32&lt;CD32,"初任",IF(CB32&gt;CE32,"生日","初任")))</f>
        <v>初任</v>
      </c>
      <c r="CJ32" s="2" t="str">
        <f aca="true" t="shared" si="59" ref="CJ32:CJ45">IF(BZ32=CG32,CC32,BZ32)</f>
        <v>107.9.28</v>
      </c>
      <c r="CK32" s="2">
        <f aca="true" t="shared" si="60" ref="CK32:CK45">IF(CI32="生日",CA32,CD32)</f>
        <v>9</v>
      </c>
      <c r="CL32" s="2">
        <f aca="true" t="shared" si="61" ref="CL32:CL45">IF(AW32="",0,1)</f>
        <v>0</v>
      </c>
      <c r="CM32" s="339">
        <f aca="true" t="shared" si="62" ref="CM32:CM95">IF(CL32=0,"",IF(R32="",90,IF(AND(OR(S32=65,AF32=1),OR(AND(C32&lt;=20261231,S32&gt;=50,T32&gt;=25,U32&gt;=R32),AND(C32&lt;=20321231,S32&gt;=55,T32&gt;=25,U32&gt;=R32))),5875,IF(S32=65,65,IF(AF32=1,90,IF(OR(AND(C32&lt;=20261231,S32&gt;=50,T32&gt;=25,U32&gt;=R32),AND(C32&lt;=20321231,S32&gt;=55,T32&gt;=25,U32&gt;=R32)),75))))))</f>
      </c>
      <c r="CN32" s="2">
        <f aca="true" t="shared" si="63" ref="CN32:CN95">IF(CM32="","",IF(R32="","",U32-R32))</f>
      </c>
      <c r="CO32" s="2">
        <f aca="true" t="shared" si="64" ref="CO32:CO95">IF(CN32=0,CJ32,"")</f>
      </c>
      <c r="CP32" s="2">
        <f aca="true" t="shared" si="65" ref="CP32:CP95">IF(CO32=BZ32,CA32,IF(CO32=CC32,CD32,""))</f>
      </c>
      <c r="CQ32" s="2">
        <f aca="true" t="shared" si="66" ref="CQ32:CQ95">IF(CP32="","",IF(CP32=1,BY32&amp;".2.1。【說明：原實際條件成就之日期為"&amp;CO32&amp;"，惟因須配合學期而延至當學期結束之次日，始能退休生效，爰推算為"&amp;BY32&amp;".2.1】",IF(AND(CP32&lt;=7,CP32&gt;1),BY32&amp;".8.1。【說明：原實際條件成就之日期為"&amp;CO32&amp;"，惟因須配合學期而延至當學年度結束之次日，始能退休生效，爰推算為"&amp;BY32&amp;".8.1】",IF(OR(AND(CP32&gt;7,OR(CA32=1,CD32=1)),AND(CP32&gt;7,OR(RIGHT(BZ32,4)=".2.1",RIGHT(CC32,4)=".2.1"))),BY32+1&amp;".2.1。【說明：原實際條件成就之日期為"&amp;CO32&amp;"，惟因須配合學期而延至當學期結束之次日，始能退休生效，爰推算為"&amp;BY32+1&amp;".2.1】",""))))</f>
      </c>
      <c r="CR32" s="2">
        <f t="shared" si="7"/>
      </c>
      <c r="CS32" s="128">
        <f t="shared" si="8"/>
      </c>
      <c r="CT32" s="2">
        <f aca="true" t="shared" si="67" ref="CT32:CT95">IF(AND(CN32=1,S32=BT32,T32&gt;25),BZ32,IF(AND(CN32=1,S32&gt;BT32,T32=25),CC32,IF(AND(CN32=1,S32&gt;BT32,T32&gt;25),BY32&amp;".1.1","")))</f>
      </c>
      <c r="CU32" s="2">
        <f aca="true" t="shared" si="68" ref="CU32:CU95">IF(CT32=BY32&amp;".1.1",1,IF(CT32=BZ32,CA32,IF(CT32=CC32,CD32,"")))</f>
      </c>
      <c r="CV32" s="128">
        <f aca="true" t="shared" si="69" ref="CV32:CV95">IF(CU32="","",IF(RIGHT(CT32,4)=".8.1",BY32&amp;".8.1",IF(RIGHT(CT32,4)=".2.1",BY32&amp;".2.1",IF(CU32=1,BY32&amp;".2.1。【說明：原實際條件成就時間為"&amp;CT32&amp;"，惟因必須配合學期而延至當學期結束之次日，始能退休生效，爰推算為"&amp;BY32&amp;".2.1】",IF(AND(CU32&gt;1,CU32&lt;=7),BY32&amp;".8.1。【說明：原實際條件成就時間為"&amp;CT32&amp;"，惟因必須配合學期而延至當學期結束之次日，始能退休生效，爰推算為"&amp;BY32&amp;".8.1】",BY32+1&amp;".2.1。【說明：實際條件成就時間為"&amp;CT32&amp;"，惟因必須配合學期而延至當學期結束之次日，始能退休生效，爰推算為"&amp;BY32+1&amp;".2.1】")))))</f>
      </c>
      <c r="CW32" s="2">
        <f>IF(CW31&lt;&gt;"","",IF(AND(CN32&gt;=2,S32=BT32,T32&gt;25),BZ32,IF(AND(CN32&gt;=2,S32&gt;BT32,T32=25),CC32,IF(AND(CN32&gt;=2,S32&gt;BT32,T32&gt;25),BY32&amp;".1.1",""))))</f>
      </c>
      <c r="CX32" s="2">
        <f aca="true" t="shared" si="70" ref="CX32:CX95">IF(CW32=BY32&amp;".1.1",1,IF(CW32=BZ32,CA32,IF(CW32=CC32,CD32,"")))</f>
      </c>
      <c r="CY32" s="128">
        <f aca="true" t="shared" si="71" ref="CY32:CY95">IF(CX32="","",IF(RIGHT(CW32,4)=".8.1",BY32&amp;".8.1",IF(RIGHT(CW32,4)=".2.1",BY32&amp;".2.1",IF(AND(BY32&lt;=107,CW32=BY32&amp;".1.1"),BY32&amp;".1.1"&amp;"以前。【說明：亦即新法案施行前已符規定，可擇領月退休金之退休日期，在緩衝期間將不受新法案影響】",IF(CX32=1,BY32&amp;".2.1。【說明：原實際條件成就時間為"&amp;CW32&amp;"，惟因必須配合學期而延至當學期結束之次日，始能退休生效，爰推算為"&amp;BY32&amp;".2.1】",IF(AND(CX32&lt;=7,CX32&gt;1),BY32&amp;".8.1。【說明：原實際條件成就時間為"&amp;CW32&amp;"，惟因必須配合學期而延至當學期結束之次日，始能退休生效，爰推算為"&amp;BY32&amp;".8.1】",BY32+1&amp;".2.1。【說明：原實際條件成就時間為"&amp;CW32&amp;"，惟因必須配合學期而延至當學期結束之次日，始能退休生效，爰推算為"&amp;BY32+1&amp;".2.1】"))))))</f>
      </c>
      <c r="CZ32" s="2">
        <f aca="true" t="shared" si="72" ref="CZ32:CZ95">IF(AND(OR(CM32=90,CM32=5875),S32=58,T32=25),CK32,IF(AND(OR(CM32=90,CM32=5875),S32&gt;58,T32=25),CD32,IF(AND(OR(CM32=90,CM32=5875),S32=58,T32&gt;25),CA32,"")))</f>
      </c>
      <c r="DA32" s="2">
        <f aca="true" t="shared" si="73" ref="DA32:DA95">IF(AND(OR(CM32=90,CM32=5875),S32=58,T32=25),CJ32,IF(AND(OR(CM32=90,CM32=5875),S32&gt;58,T32=25),CC32,IF(AND(OR(CM32=90,CM32=5875),S32=58,T32&gt;25),BZ32,"")))</f>
      </c>
      <c r="DB32" s="128">
        <f aca="true" t="shared" si="74" ref="DB32:DB95">IF(CZ32="","",IF(RIGHT(DA32,4)=".8.1",BY32&amp;".8.1",IF(RIGHT(DA32,4)=".2.1",BY32&amp;".2.1",IF(CZ32=1,BY32&amp;".2.1。【說明：原實際條件成就時間為"&amp;DA32&amp;"，惟因必須配合學期而延至當學期結束之次日，始能退休生效，爰推算為"&amp;BY32&amp;".2.1】",IF(AND(CZ32&lt;=7,CZ32&gt;1),BY32&amp;".8.1。【說明：原實際條件成就時間為"&amp;DA32&amp;"，惟因必須配合學期而延至當學期結束之次日，始能退休生效，爰推算為"&amp;BY32&amp;".8.1】",BY32+1&amp;".2.1。【說明：原實際條件成就時間為"&amp;DA32&amp;"，惟因必須配合學期而延至當學期結束之次日，始能退休生效，爰推算為"&amp;BY32+1&amp;".2.1】")))))</f>
      </c>
      <c r="DC32" s="2">
        <f aca="true" t="shared" si="75" ref="DC32:DC95">IF(AND(OR(CM32=90,CM32=5875),S32=60,T32=15),CK32,IF(AND(OR(CM32=90,CM32=5875),S32&gt;60,T32=15),CD32,IF(AND(OR(CM32=90,CM32=5875),S32=60,T32&gt;15),CA32,"")))</f>
      </c>
      <c r="DD32" s="2">
        <f aca="true" t="shared" si="76" ref="DD32:DD95">IF(AND(OR(CM32=90,CM32=5875),S32=60,T32=15),CJ32,IF(AND(OR(CM32=90,CM32=5875),S32&gt;60,T32=15),CC32,IF(AND(OR(CM32=90,CM32=5875),S32=60,T32&gt;15),BZ32,"")))</f>
      </c>
      <c r="DE32" s="128">
        <f aca="true" t="shared" si="77" ref="DE32:DE95">IF(DC32="","",IF(RIGHT(DD32,4)=".8.1",BY32&amp;".8.1",IF(RIGHT(DD32,4)=".2.1",BY32&amp;".2.1",IF(DC32=1,BY32&amp;".2.1。【說明：原實際條件成就時間為"&amp;DD32&amp;"，惟因必須配合學期而延至當學期結束之次日，始能退休生效，爰推算為"&amp;BY32&amp;".2.1】",IF(AND(DC32&lt;=7,DC32&gt;1),BY32&amp;".8.1。【說明：原實際條件成就時間為"&amp;DD32&amp;"，惟因必須配合學期而延至當學期結束之次日，始能退休生效，爰推算為"&amp;BY32&amp;".8.1】",BY32+1&amp;".2.1。【說明：原實際條件成就時間為"&amp;DD32&amp;"，惟因必須配合學期而延至當學期結束之次日，始能退休生效，爰推算為"&amp;BY32+1&amp;".2.1】")))))</f>
      </c>
      <c r="DF32" s="2"/>
      <c r="DG32" s="2"/>
      <c r="DH32" s="128"/>
      <c r="DI32" s="2">
        <f aca="true" t="shared" si="78" ref="DI32:DI95">IF(OR(OR(AND(C32&lt;=20261231,S32=65,T32&gt;=25,U32&gt;=R32),AND(C32&lt;=20321231,S32=65,T32&gt;=25,U32&gt;=R32)),CM32=65),CA32,"")</f>
      </c>
      <c r="DJ32" s="2">
        <f aca="true" t="shared" si="79" ref="DJ32:DJ95">IF(OR(OR(AND(C32&lt;=20261231,S32=65,T32&gt;=25,U32&gt;=R32),AND(C32&lt;=20321231,S32=65,T32&gt;=25,U32&gt;=R32)),CM32=65),BZ32,"")</f>
      </c>
      <c r="DK32" s="128">
        <f aca="true" t="shared" si="80" ref="DK32:DK95">IF(DI32="","",IF(RIGHT(DJ32,4)=".8.1",BY32&amp;".8.1",IF(RIGHT(DJ32,4)=".2.1",BY32&amp;".2.1",IF(DI32=1,BY32&amp;".2.1。【說明：原實際條件成就時間為"&amp;DJ32&amp;"，惟因必須配合學期而延至當學期結束之次日，始能退休生效，爰推算為"&amp;BY32&amp;".2.1】",IF(AND(DI32&lt;=7,DI32&gt;1),BY32&amp;".8.1。【說明：原實際條件成就時間為"&amp;DJ32&amp;"，惟因必須配合學期而延至當學年度結束之次日，始能退休生效，爰推算為"&amp;BY32&amp;".8.1】",BY32+1&amp;".2.1。【說明：原實際條件成就時間為"&amp;DJ32&amp;"，惟因必須配合學期而延至當學期結束之次日，始能退休生效，爰推算為"&amp;BY32+1&amp;".2.1】")))))</f>
      </c>
      <c r="DL32" s="128"/>
      <c r="DM32" s="21">
        <f aca="true" t="shared" si="81" ref="DM32:DM95">CONCATENATE(CS32,CV32,CY32,DB32,DE32,DH32,DK32)</f>
      </c>
      <c r="DN32" s="2">
        <f aca="true" t="shared" si="82" ref="DN32:DN95">CONCATENATE(CO32,CT32,CW32,DA32,DD32,DG32,DJ32)</f>
      </c>
      <c r="DO32" s="2"/>
      <c r="DP32" s="2"/>
      <c r="DQ32" s="2"/>
      <c r="DR32" s="2"/>
      <c r="DS32" s="2"/>
      <c r="DT32" s="2"/>
      <c r="DU32" s="2"/>
      <c r="DV32" s="10"/>
      <c r="DW32" s="2">
        <f aca="true" t="shared" si="83" ref="DW32:DW95">IF(DM32="","",VALUE(LEFT(DM32,3)))</f>
      </c>
      <c r="DX32" s="2">
        <f aca="true" t="shared" si="84" ref="DX32:DX95">IF(DW32="","",IF(AND(R32&lt;=90,R32&gt;58,DW32&gt;=122),"◆但@*%#...喔麥尬～上開生效日期已逾121年底的過渡期，仍否再適用指標數規定，恐有疑義！",""))</f>
      </c>
      <c r="DY32" s="34"/>
      <c r="DZ32" s="7">
        <f aca="true" t="shared" si="85" ref="DZ32:DZ95">IF(AND(T32&gt;=25,S32&gt;=55),1,0)</f>
        <v>0</v>
      </c>
      <c r="EA32" s="123">
        <f aca="true" t="shared" si="86" ref="EA32:EA95">IF(T32&gt;=25,IF(AND(DZ33=1,DZ32=1),0,IF(AND(DZ33=1,DZ32=0),0.04,IF(AND(DZ34=1,DZ32=0),0.08,IF(AND(DZ35=1,DZ32=0),0.12,IF(AND(DZ36=1,DZ32=0),0.16,IF(AND(DZ37=1,DZ32=0),0.2,0)))))),0)</f>
        <v>0</v>
      </c>
      <c r="EB32" s="211">
        <f aca="true" t="shared" si="87" ref="EB32:EB95">IF(AND(S32&gt;60,T32&gt;=25),"",IF(AND(S32&gt;=50,T32&gt;=25),"●",""))</f>
      </c>
      <c r="EC32" s="210">
        <f aca="true" t="shared" si="88" ref="EC32:EC95">IF(AND(S32&gt;60,T32&gt;=25),"",IF(AND(S32&gt;=50,T32&gt;=25),"●",""))</f>
      </c>
      <c r="ED32" s="210">
        <f aca="true" t="shared" si="89" ref="ED32:ED95">IF(AND(T32&gt;=25,S32&gt;=55),-1*BB32,"")</f>
      </c>
      <c r="EE32" s="34">
        <v>9</v>
      </c>
      <c r="EF32" s="183">
        <v>9</v>
      </c>
      <c r="EG32" s="34">
        <v>9</v>
      </c>
      <c r="EH32" s="34"/>
      <c r="EI32" s="118">
        <f aca="true" t="shared" si="90" ref="EI32:EI70">IF($Y$8&gt;=20180701,0,IF(AND(C32&lt;20330101,S32&gt;=55,T32&gt;=25,U32&gt;=R32),1,0))</f>
        <v>0</v>
      </c>
      <c r="EJ32" s="34"/>
      <c r="EK32" s="313">
        <f aca="true" t="shared" si="91" ref="EK32:EK70">BT32</f>
        <v>50</v>
      </c>
      <c r="EL32" s="34"/>
      <c r="EM32" s="34"/>
      <c r="EN32" s="30">
        <f aca="true" t="shared" si="92" ref="EN32:EN70">IF($S$7="","",IF($AN$7&gt;=$AN$8,IF(AH32=0,"",IF(AND(R32&lt;=90,R32&gt;58,AH32&gt;AH31),"已達法定指標，但可申請退休日期應參閱上方【分析結果】",IF(AND(R32="",AH32&gt;AH31),"已符基本條件，但可申請退休日期應參閱上方【分析結果】",""))),AT32))</f>
      </c>
      <c r="EO32" s="30">
        <f t="shared" si="9"/>
      </c>
      <c r="EP32" s="20">
        <f aca="true" t="shared" si="93" ref="EP32:EP70">CONCATENATE(EN32,EO32)</f>
      </c>
      <c r="EQ32" s="315"/>
      <c r="ET32" s="350">
        <f>IF(ET31="",EU32,"")</f>
      </c>
      <c r="EU32" s="350">
        <f>IF(AND(S32=50,T32=25,T31=25),DATE(B32+1911,U7,W7),IF(AND(S32=50,S31=50,T32=25),DATE(B32+1911,AB9,AC9),IF(AND(S32=50,T32=25),MAX(DATE(B32+1911,U7,W7),DATE(B32+1911,AB9,AC9)),IF(AND(S32=50,T32&gt;25),DATE(B32+1911,U7,W7),IF(AND(S32&gt;50,T32=25),DATE(B32+1911,AB9,AC9),IF(AND(S32&gt;50,T32&gt;25),MIN(DATE(B32+1911,U7,W7),DATE(B32+1911,AB9,AC9)),""))))))</f>
      </c>
    </row>
    <row r="33" spans="1:147" s="29" customFormat="1" ht="15" customHeight="1" thickTop="1">
      <c r="A33" s="143"/>
      <c r="B33" s="149">
        <v>107</v>
      </c>
      <c r="C33" s="26">
        <f aca="true" t="shared" si="94" ref="C33:C95">VALUE(IF($S$5="公務人員",B33+1911&amp;"1231",B33+1911&amp;"1231"))</f>
        <v>20181231</v>
      </c>
      <c r="D33" s="26" t="str">
        <f t="shared" si="10"/>
        <v>2018</v>
      </c>
      <c r="E33" s="26" t="str">
        <f t="shared" si="11"/>
        <v>12</v>
      </c>
      <c r="F33" s="26" t="str">
        <f t="shared" si="12"/>
        <v>31</v>
      </c>
      <c r="G33" s="300">
        <f t="shared" si="13"/>
        <v>43465</v>
      </c>
      <c r="H33" s="116">
        <f t="shared" si="0"/>
        <v>17</v>
      </c>
      <c r="I33" s="116">
        <f t="shared" si="14"/>
        <v>4</v>
      </c>
      <c r="J33" s="26">
        <f>IF(BC10=1,"*",IF(G33=DATE(YEAR(G33),MONTH(G33)+1,1)-1,IF($Z$8=DATE(YEAR($Z$8),MONTH($Z$8)+1,1)-1,0,DAY(DATE(YEAR($Z$8),MONTH($Z$8)+1,1)-1)-DAY($Z$8)),IF(DAY(G33)&gt;=DAY($Z$8),DAY(G33)-DAY($Z$8),DATE(YEAR($Z$8),MONTH($Z$8)+1,1)-1-$Z$8+DAY(G33))))</f>
        <v>30</v>
      </c>
      <c r="K33" s="117">
        <f t="shared" si="15"/>
        <v>19</v>
      </c>
      <c r="L33" s="117">
        <f t="shared" si="16"/>
        <v>3</v>
      </c>
      <c r="M33" s="117">
        <f t="shared" si="17"/>
        <v>8</v>
      </c>
      <c r="N33" s="542" t="str">
        <f>IF($S$5="公務人員",B33&amp;".1.1~"&amp;B33&amp;".12.31",B33&amp;".7.1~"&amp;B33&amp;".12.31")</f>
        <v>107.7.1~107.12.31</v>
      </c>
      <c r="O33" s="543"/>
      <c r="P33" s="543"/>
      <c r="Q33" s="544"/>
      <c r="R33" s="368">
        <v>76</v>
      </c>
      <c r="S33" s="369">
        <f t="shared" si="18"/>
        <v>49</v>
      </c>
      <c r="T33" s="370">
        <f t="shared" si="19"/>
        <v>19</v>
      </c>
      <c r="U33" s="371">
        <f t="shared" si="20"/>
        <v>68</v>
      </c>
      <c r="V33" s="148">
        <f t="shared" si="21"/>
      </c>
      <c r="W33" s="430">
        <f t="shared" si="22"/>
      </c>
      <c r="X33" s="402"/>
      <c r="Y33" s="402"/>
      <c r="Z33" s="431"/>
      <c r="AA33" s="276">
        <f t="shared" si="23"/>
      </c>
      <c r="AB33" s="249">
        <f t="shared" si="24"/>
      </c>
      <c r="AC33" s="330">
        <f t="shared" si="25"/>
      </c>
      <c r="AD33" s="102"/>
      <c r="AE33" s="118">
        <f t="shared" si="26"/>
        <v>0</v>
      </c>
      <c r="AF33" s="118">
        <f t="shared" si="27"/>
        <v>0</v>
      </c>
      <c r="AG33" s="118">
        <f t="shared" si="28"/>
        <v>0</v>
      </c>
      <c r="AH33" s="118">
        <f>IF(OR(AE33+AF33+AG33&gt;0,SUM($AE$30:AG32)&gt;0),1,0)</f>
        <v>0</v>
      </c>
      <c r="AI33" s="118">
        <f t="shared" si="29"/>
      </c>
      <c r="AJ33" s="118">
        <f t="shared" si="30"/>
      </c>
      <c r="AK33" s="118">
        <f t="shared" si="31"/>
      </c>
      <c r="AL33" s="118">
        <f t="shared" si="32"/>
      </c>
      <c r="AM33" s="119">
        <f t="shared" si="33"/>
        <v>0</v>
      </c>
      <c r="AN33" s="119">
        <f t="shared" si="34"/>
        <v>0</v>
      </c>
      <c r="AO33" s="119">
        <f t="shared" si="35"/>
      </c>
      <c r="AP33" s="119">
        <f t="shared" si="36"/>
        <v>49</v>
      </c>
      <c r="AQ33" s="119">
        <f t="shared" si="37"/>
        <v>20181231</v>
      </c>
      <c r="AR33" s="119" t="str">
        <f t="shared" si="38"/>
        <v>107.7.1~107.12.31</v>
      </c>
      <c r="AS33" s="120">
        <f t="shared" si="39"/>
      </c>
      <c r="AT33" s="121">
        <f t="shared" si="40"/>
      </c>
      <c r="AU33" s="121">
        <f t="shared" si="41"/>
        <v>0</v>
      </c>
      <c r="AV33" s="119">
        <f t="shared" si="42"/>
      </c>
      <c r="AW33" s="122">
        <f t="shared" si="43"/>
      </c>
      <c r="AX33" s="31">
        <f t="shared" si="44"/>
        <v>0</v>
      </c>
      <c r="AY33" s="7">
        <f t="shared" si="45"/>
        <v>0</v>
      </c>
      <c r="AZ33" s="123">
        <f t="shared" si="46"/>
        <v>0</v>
      </c>
      <c r="BA33" s="123">
        <f t="shared" si="47"/>
        <v>0</v>
      </c>
      <c r="BB33" s="123">
        <f t="shared" si="48"/>
      </c>
      <c r="BC33" s="33"/>
      <c r="BD33" s="165">
        <v>3</v>
      </c>
      <c r="BE33" s="166"/>
      <c r="BF33" s="167"/>
      <c r="BG33" s="168"/>
      <c r="BH33" s="169"/>
      <c r="BI33" s="170"/>
      <c r="BJ33" s="171"/>
      <c r="BK33" s="294">
        <f t="shared" si="1"/>
      </c>
      <c r="BL33" s="292">
        <f t="shared" si="2"/>
      </c>
      <c r="BM33" s="295">
        <f t="shared" si="49"/>
      </c>
      <c r="BN33" s="124">
        <f t="shared" si="3"/>
        <v>3987</v>
      </c>
      <c r="BO33" s="125">
        <f t="shared" si="4"/>
        <v>3987</v>
      </c>
      <c r="BP33" s="125"/>
      <c r="BQ33" s="126"/>
      <c r="BR33" s="126"/>
      <c r="BS33" s="126"/>
      <c r="BT33" s="127">
        <v>50</v>
      </c>
      <c r="BU33" s="127"/>
      <c r="BV33" s="127"/>
      <c r="BW33" s="179">
        <f t="shared" si="5"/>
        <v>23</v>
      </c>
      <c r="BX33" s="7">
        <f t="shared" si="50"/>
        <v>9</v>
      </c>
      <c r="BY33" s="20">
        <f t="shared" si="51"/>
        <v>107</v>
      </c>
      <c r="BZ33" s="2" t="str">
        <f t="shared" si="52"/>
        <v>107.2.5</v>
      </c>
      <c r="CA33" s="181">
        <f t="shared" si="53"/>
        <v>2</v>
      </c>
      <c r="CB33" s="2">
        <f t="shared" si="6"/>
        <v>5</v>
      </c>
      <c r="CC33" s="2" t="str">
        <f t="shared" si="54"/>
        <v>107.9.28</v>
      </c>
      <c r="CD33" s="181">
        <f aca="true" t="shared" si="95" ref="CD33:CD96">CD32</f>
        <v>9</v>
      </c>
      <c r="CE33" s="2">
        <f aca="true" t="shared" si="96" ref="CE33:CE96">CE32</f>
        <v>28</v>
      </c>
      <c r="CF33" s="2" t="str">
        <f t="shared" si="55"/>
        <v>生日</v>
      </c>
      <c r="CG33" s="2" t="str">
        <f t="shared" si="56"/>
        <v>107.2.5</v>
      </c>
      <c r="CH33" s="2">
        <f t="shared" si="57"/>
        <v>2</v>
      </c>
      <c r="CI33" s="2" t="str">
        <f t="shared" si="58"/>
        <v>初任</v>
      </c>
      <c r="CJ33" s="2" t="str">
        <f t="shared" si="59"/>
        <v>107.9.28</v>
      </c>
      <c r="CK33" s="2">
        <f t="shared" si="60"/>
        <v>9</v>
      </c>
      <c r="CL33" s="2">
        <f t="shared" si="61"/>
        <v>0</v>
      </c>
      <c r="CM33" s="339">
        <f t="shared" si="62"/>
      </c>
      <c r="CN33" s="2">
        <f t="shared" si="63"/>
      </c>
      <c r="CO33" s="2">
        <f t="shared" si="64"/>
      </c>
      <c r="CP33" s="2">
        <f t="shared" si="65"/>
      </c>
      <c r="CQ33" s="2">
        <f t="shared" si="66"/>
      </c>
      <c r="CR33" s="2">
        <f t="shared" si="7"/>
      </c>
      <c r="CS33" s="128">
        <f t="shared" si="8"/>
      </c>
      <c r="CT33" s="2">
        <f t="shared" si="67"/>
      </c>
      <c r="CU33" s="2">
        <f t="shared" si="68"/>
      </c>
      <c r="CV33" s="128">
        <f t="shared" si="69"/>
      </c>
      <c r="CW33" s="2">
        <f aca="true" t="shared" si="97" ref="CW33:CW95">IF(AND(CN33&gt;=2,S33=BT33,T33&gt;25),BZ33,IF(AND(CN33&gt;=2,S33&gt;BT33,T33=25),CC33,IF(AND(CN33&gt;=2,S33&gt;BT33,T33&gt;25),BY33&amp;".1.1","")))</f>
      </c>
      <c r="CX33" s="2">
        <f t="shared" si="70"/>
      </c>
      <c r="CY33" s="128">
        <f t="shared" si="71"/>
      </c>
      <c r="CZ33" s="2">
        <f t="shared" si="72"/>
      </c>
      <c r="DA33" s="2">
        <f t="shared" si="73"/>
      </c>
      <c r="DB33" s="128">
        <f t="shared" si="74"/>
      </c>
      <c r="DC33" s="2">
        <f t="shared" si="75"/>
      </c>
      <c r="DD33" s="2">
        <f t="shared" si="76"/>
      </c>
      <c r="DE33" s="128">
        <f t="shared" si="77"/>
      </c>
      <c r="DF33" s="2"/>
      <c r="DG33" s="2"/>
      <c r="DH33" s="128"/>
      <c r="DI33" s="2">
        <f t="shared" si="78"/>
      </c>
      <c r="DJ33" s="2">
        <f t="shared" si="79"/>
      </c>
      <c r="DK33" s="128">
        <f t="shared" si="80"/>
      </c>
      <c r="DL33" s="128"/>
      <c r="DM33" s="21">
        <f t="shared" si="81"/>
      </c>
      <c r="DN33" s="2">
        <f t="shared" si="82"/>
      </c>
      <c r="DO33" s="2"/>
      <c r="DP33" s="2"/>
      <c r="DQ33" s="2"/>
      <c r="DR33" s="2"/>
      <c r="DS33" s="2"/>
      <c r="DT33" s="2"/>
      <c r="DU33" s="2"/>
      <c r="DV33" s="10"/>
      <c r="DW33" s="2">
        <f t="shared" si="83"/>
      </c>
      <c r="DX33" s="2">
        <f t="shared" si="84"/>
      </c>
      <c r="DY33" s="34"/>
      <c r="DZ33" s="7">
        <f t="shared" si="85"/>
        <v>0</v>
      </c>
      <c r="EA33" s="123">
        <f t="shared" si="86"/>
        <v>0</v>
      </c>
      <c r="EB33" s="211">
        <f t="shared" si="87"/>
      </c>
      <c r="EC33" s="210">
        <f t="shared" si="88"/>
      </c>
      <c r="ED33" s="210">
        <f t="shared" si="89"/>
      </c>
      <c r="EE33" s="34">
        <v>10</v>
      </c>
      <c r="EF33" s="183">
        <v>10</v>
      </c>
      <c r="EG33" s="34">
        <v>10</v>
      </c>
      <c r="EH33" s="34"/>
      <c r="EI33" s="118">
        <f t="shared" si="90"/>
        <v>0</v>
      </c>
      <c r="EJ33" s="34"/>
      <c r="EK33" s="313">
        <f t="shared" si="91"/>
        <v>50</v>
      </c>
      <c r="EL33" s="34"/>
      <c r="EM33" s="34"/>
      <c r="EN33" s="30">
        <f t="shared" si="92"/>
      </c>
      <c r="EO33" s="30">
        <f t="shared" si="9"/>
      </c>
      <c r="EP33" s="20">
        <f t="shared" si="93"/>
      </c>
      <c r="EQ33" s="315"/>
    </row>
    <row r="34" spans="1:147" s="29" customFormat="1" ht="15" customHeight="1">
      <c r="A34" s="143"/>
      <c r="B34" s="149">
        <f aca="true" t="shared" si="98" ref="B34:B96">B33+1</f>
        <v>108</v>
      </c>
      <c r="C34" s="26">
        <f t="shared" si="94"/>
        <v>20191231</v>
      </c>
      <c r="D34" s="26" t="str">
        <f t="shared" si="10"/>
        <v>2019</v>
      </c>
      <c r="E34" s="26" t="str">
        <f t="shared" si="11"/>
        <v>12</v>
      </c>
      <c r="F34" s="26" t="str">
        <f t="shared" si="12"/>
        <v>31</v>
      </c>
      <c r="G34" s="300">
        <f t="shared" si="13"/>
        <v>43830</v>
      </c>
      <c r="H34" s="116">
        <f t="shared" si="0"/>
        <v>18</v>
      </c>
      <c r="I34" s="116">
        <f t="shared" si="14"/>
        <v>4</v>
      </c>
      <c r="J34" s="26">
        <f>IF(BC16=1,"*",IF(G34=DATE(YEAR(G34),MONTH(G34)+1,1)-1,IF($Z$8=DATE(YEAR($Z$8),MONTH($Z$8)+1,1)-1,0,DAY(DATE(YEAR($Z$8),MONTH($Z$8)+1,1)-1)-DAY($Z$8)),IF(DAY(G34)&gt;=DAY($Z$8),DAY(G34)-DAY($Z$8),DATE(YEAR($Z$8),MONTH($Z$8)+1,1)-1-$Z$8+DAY(G34))))</f>
        <v>30</v>
      </c>
      <c r="K34" s="117">
        <f t="shared" si="15"/>
        <v>20</v>
      </c>
      <c r="L34" s="117">
        <f t="shared" si="16"/>
        <v>3</v>
      </c>
      <c r="M34" s="117">
        <f t="shared" si="17"/>
        <v>8</v>
      </c>
      <c r="N34" s="525" t="str">
        <f aca="true" t="shared" si="99" ref="N34:N95">IF($S$5="公務人員",B34&amp;".1.1~"&amp;B34&amp;".12.31",B34&amp;".1.1~"&amp;B34&amp;".12.31")</f>
        <v>108.1.1~108.12.31</v>
      </c>
      <c r="O34" s="526"/>
      <c r="P34" s="526"/>
      <c r="Q34" s="527"/>
      <c r="R34" s="272">
        <v>77</v>
      </c>
      <c r="S34" s="372">
        <f t="shared" si="18"/>
        <v>50</v>
      </c>
      <c r="T34" s="373">
        <f t="shared" si="19"/>
        <v>20</v>
      </c>
      <c r="U34" s="374">
        <f t="shared" si="20"/>
        <v>70</v>
      </c>
      <c r="V34" s="148">
        <f t="shared" si="21"/>
      </c>
      <c r="W34" s="430">
        <f t="shared" si="22"/>
      </c>
      <c r="X34" s="402"/>
      <c r="Y34" s="402"/>
      <c r="Z34" s="431"/>
      <c r="AA34" s="276">
        <f t="shared" si="23"/>
      </c>
      <c r="AB34" s="249">
        <f t="shared" si="24"/>
      </c>
      <c r="AC34" s="330">
        <f t="shared" si="25"/>
      </c>
      <c r="AD34" s="102"/>
      <c r="AE34" s="118">
        <f t="shared" si="26"/>
        <v>0</v>
      </c>
      <c r="AF34" s="118">
        <f t="shared" si="27"/>
        <v>0</v>
      </c>
      <c r="AG34" s="118">
        <f t="shared" si="28"/>
        <v>0</v>
      </c>
      <c r="AH34" s="118">
        <f>IF(OR(AE34+AF34+AG34&gt;0,SUM($AE$30:AG33)&gt;0),1,0)</f>
        <v>0</v>
      </c>
      <c r="AI34" s="118">
        <f t="shared" si="29"/>
      </c>
      <c r="AJ34" s="118">
        <f t="shared" si="30"/>
      </c>
      <c r="AK34" s="118">
        <f t="shared" si="31"/>
      </c>
      <c r="AL34" s="118">
        <f t="shared" si="32"/>
      </c>
      <c r="AM34" s="119">
        <f t="shared" si="33"/>
        <v>0</v>
      </c>
      <c r="AN34" s="119">
        <f t="shared" si="34"/>
        <v>0</v>
      </c>
      <c r="AO34" s="119">
        <f t="shared" si="35"/>
      </c>
      <c r="AP34" s="119">
        <f t="shared" si="36"/>
        <v>50</v>
      </c>
      <c r="AQ34" s="119">
        <f t="shared" si="37"/>
        <v>20191231</v>
      </c>
      <c r="AR34" s="119" t="str">
        <f t="shared" si="38"/>
        <v>108.1.1~108.12.31</v>
      </c>
      <c r="AS34" s="120">
        <f t="shared" si="39"/>
      </c>
      <c r="AT34" s="121">
        <f t="shared" si="40"/>
      </c>
      <c r="AU34" s="121">
        <f t="shared" si="41"/>
        <v>0</v>
      </c>
      <c r="AV34" s="119">
        <f t="shared" si="42"/>
      </c>
      <c r="AW34" s="122">
        <f t="shared" si="43"/>
      </c>
      <c r="AX34" s="31">
        <f t="shared" si="44"/>
        <v>0</v>
      </c>
      <c r="AY34" s="7">
        <f t="shared" si="45"/>
        <v>0</v>
      </c>
      <c r="AZ34" s="123">
        <f t="shared" si="46"/>
        <v>0</v>
      </c>
      <c r="BA34" s="123">
        <f t="shared" si="47"/>
        <v>0</v>
      </c>
      <c r="BB34" s="123">
        <f t="shared" si="48"/>
      </c>
      <c r="BC34" s="33"/>
      <c r="BD34" s="165">
        <v>4</v>
      </c>
      <c r="BE34" s="166"/>
      <c r="BF34" s="167"/>
      <c r="BG34" s="168"/>
      <c r="BH34" s="169"/>
      <c r="BI34" s="170"/>
      <c r="BJ34" s="171"/>
      <c r="BK34" s="294">
        <f t="shared" si="1"/>
      </c>
      <c r="BL34" s="292">
        <f t="shared" si="2"/>
      </c>
      <c r="BM34" s="295">
        <f t="shared" si="49"/>
      </c>
      <c r="BN34" s="124">
        <f t="shared" si="3"/>
        <v>3987</v>
      </c>
      <c r="BO34" s="125">
        <f t="shared" si="4"/>
        <v>3987</v>
      </c>
      <c r="BP34" s="125"/>
      <c r="BQ34" s="126"/>
      <c r="BR34" s="126"/>
      <c r="BS34" s="126"/>
      <c r="BT34" s="127">
        <v>50</v>
      </c>
      <c r="BU34" s="127"/>
      <c r="BV34" s="127"/>
      <c r="BW34" s="179">
        <f t="shared" si="5"/>
        <v>23</v>
      </c>
      <c r="BX34" s="7">
        <f t="shared" si="50"/>
        <v>9</v>
      </c>
      <c r="BY34" s="20">
        <f t="shared" si="51"/>
        <v>108</v>
      </c>
      <c r="BZ34" s="2" t="str">
        <f t="shared" si="52"/>
        <v>108.2.5</v>
      </c>
      <c r="CA34" s="181">
        <f t="shared" si="53"/>
        <v>2</v>
      </c>
      <c r="CB34" s="2">
        <f t="shared" si="6"/>
        <v>5</v>
      </c>
      <c r="CC34" s="2" t="str">
        <f t="shared" si="54"/>
        <v>108.9.28</v>
      </c>
      <c r="CD34" s="181">
        <f t="shared" si="95"/>
        <v>9</v>
      </c>
      <c r="CE34" s="2">
        <f t="shared" si="96"/>
        <v>28</v>
      </c>
      <c r="CF34" s="2" t="str">
        <f t="shared" si="55"/>
        <v>生日</v>
      </c>
      <c r="CG34" s="2" t="str">
        <f t="shared" si="56"/>
        <v>108.2.5</v>
      </c>
      <c r="CH34" s="2">
        <f t="shared" si="57"/>
        <v>2</v>
      </c>
      <c r="CI34" s="2" t="str">
        <f t="shared" si="58"/>
        <v>初任</v>
      </c>
      <c r="CJ34" s="2" t="str">
        <f t="shared" si="59"/>
        <v>108.9.28</v>
      </c>
      <c r="CK34" s="2">
        <f t="shared" si="60"/>
        <v>9</v>
      </c>
      <c r="CL34" s="2">
        <f t="shared" si="61"/>
        <v>0</v>
      </c>
      <c r="CM34" s="339">
        <f t="shared" si="62"/>
      </c>
      <c r="CN34" s="2">
        <f t="shared" si="63"/>
      </c>
      <c r="CO34" s="2">
        <f t="shared" si="64"/>
      </c>
      <c r="CP34" s="2">
        <f t="shared" si="65"/>
      </c>
      <c r="CQ34" s="2">
        <f t="shared" si="66"/>
      </c>
      <c r="CR34" s="2">
        <f t="shared" si="7"/>
      </c>
      <c r="CS34" s="128">
        <f t="shared" si="8"/>
      </c>
      <c r="CT34" s="2">
        <f t="shared" si="67"/>
      </c>
      <c r="CU34" s="2">
        <f t="shared" si="68"/>
      </c>
      <c r="CV34" s="128">
        <f t="shared" si="69"/>
      </c>
      <c r="CW34" s="2">
        <f t="shared" si="97"/>
      </c>
      <c r="CX34" s="2">
        <f t="shared" si="70"/>
      </c>
      <c r="CY34" s="128">
        <f t="shared" si="71"/>
      </c>
      <c r="CZ34" s="2">
        <f t="shared" si="72"/>
      </c>
      <c r="DA34" s="2">
        <f t="shared" si="73"/>
      </c>
      <c r="DB34" s="128">
        <f t="shared" si="74"/>
      </c>
      <c r="DC34" s="2">
        <f t="shared" si="75"/>
      </c>
      <c r="DD34" s="2">
        <f t="shared" si="76"/>
      </c>
      <c r="DE34" s="128">
        <f t="shared" si="77"/>
      </c>
      <c r="DF34" s="2"/>
      <c r="DG34" s="2"/>
      <c r="DH34" s="128"/>
      <c r="DI34" s="2">
        <f t="shared" si="78"/>
      </c>
      <c r="DJ34" s="2">
        <f t="shared" si="79"/>
      </c>
      <c r="DK34" s="128">
        <f t="shared" si="80"/>
      </c>
      <c r="DL34" s="128"/>
      <c r="DM34" s="21">
        <f t="shared" si="81"/>
      </c>
      <c r="DN34" s="2">
        <f t="shared" si="82"/>
      </c>
      <c r="DO34" s="2"/>
      <c r="DP34" s="2"/>
      <c r="DQ34" s="2"/>
      <c r="DR34" s="2"/>
      <c r="DS34" s="2"/>
      <c r="DT34" s="2"/>
      <c r="DU34" s="2"/>
      <c r="DV34" s="10"/>
      <c r="DW34" s="2">
        <f t="shared" si="83"/>
      </c>
      <c r="DX34" s="2">
        <f t="shared" si="84"/>
      </c>
      <c r="DY34" s="34"/>
      <c r="DZ34" s="7">
        <f t="shared" si="85"/>
        <v>0</v>
      </c>
      <c r="EA34" s="123">
        <f t="shared" si="86"/>
        <v>0</v>
      </c>
      <c r="EB34" s="211">
        <f t="shared" si="87"/>
      </c>
      <c r="EC34" s="210">
        <f t="shared" si="88"/>
      </c>
      <c r="ED34" s="210">
        <f t="shared" si="89"/>
      </c>
      <c r="EE34" s="34">
        <v>11</v>
      </c>
      <c r="EF34" s="183">
        <v>11</v>
      </c>
      <c r="EG34" s="34">
        <v>11</v>
      </c>
      <c r="EH34" s="34"/>
      <c r="EI34" s="118">
        <f t="shared" si="90"/>
        <v>0</v>
      </c>
      <c r="EJ34" s="34"/>
      <c r="EK34" s="313">
        <f t="shared" si="91"/>
        <v>50</v>
      </c>
      <c r="EL34" s="34"/>
      <c r="EM34" s="34"/>
      <c r="EN34" s="30">
        <f t="shared" si="92"/>
      </c>
      <c r="EO34" s="30">
        <f t="shared" si="9"/>
      </c>
      <c r="EP34" s="20">
        <f t="shared" si="93"/>
      </c>
      <c r="EQ34" s="315"/>
    </row>
    <row r="35" spans="1:147" s="29" customFormat="1" ht="15" customHeight="1">
      <c r="A35" s="143"/>
      <c r="B35" s="149">
        <f t="shared" si="98"/>
        <v>109</v>
      </c>
      <c r="C35" s="26">
        <f t="shared" si="94"/>
        <v>20201231</v>
      </c>
      <c r="D35" s="26" t="str">
        <f t="shared" si="10"/>
        <v>2020</v>
      </c>
      <c r="E35" s="26" t="str">
        <f t="shared" si="11"/>
        <v>12</v>
      </c>
      <c r="F35" s="26" t="str">
        <f t="shared" si="12"/>
        <v>31</v>
      </c>
      <c r="G35" s="300">
        <f t="shared" si="13"/>
        <v>44196</v>
      </c>
      <c r="H35" s="116">
        <f t="shared" si="0"/>
        <v>19</v>
      </c>
      <c r="I35" s="116">
        <f t="shared" si="14"/>
        <v>4</v>
      </c>
      <c r="J35" s="26">
        <f>IF(BC27=1,"*",IF(G35=DATE(YEAR(G35),MONTH(G35)+1,1)-1,IF($Z$8=DATE(YEAR($Z$8),MONTH($Z$8)+1,1)-1,0,DAY(DATE(YEAR($Z$8),MONTH($Z$8)+1,1)-1)-DAY($Z$8)),IF(DAY(G35)&gt;=DAY($Z$8),DAY(G35)-DAY($Z$8),DATE(YEAR($Z$8),MONTH($Z$8)+1,1)-1-$Z$8+DAY(G35))))</f>
        <v>30</v>
      </c>
      <c r="K35" s="117">
        <f t="shared" si="15"/>
        <v>21</v>
      </c>
      <c r="L35" s="117">
        <f t="shared" si="16"/>
        <v>3</v>
      </c>
      <c r="M35" s="117">
        <f t="shared" si="17"/>
        <v>8</v>
      </c>
      <c r="N35" s="525" t="str">
        <f t="shared" si="99"/>
        <v>109.1.1~109.12.31</v>
      </c>
      <c r="O35" s="526"/>
      <c r="P35" s="526"/>
      <c r="Q35" s="527"/>
      <c r="R35" s="272">
        <v>78</v>
      </c>
      <c r="S35" s="372">
        <f t="shared" si="18"/>
        <v>51</v>
      </c>
      <c r="T35" s="373">
        <f t="shared" si="19"/>
        <v>21</v>
      </c>
      <c r="U35" s="374">
        <f t="shared" si="20"/>
        <v>72</v>
      </c>
      <c r="V35" s="148">
        <f t="shared" si="21"/>
      </c>
      <c r="W35" s="430">
        <f t="shared" si="22"/>
      </c>
      <c r="X35" s="402"/>
      <c r="Y35" s="402"/>
      <c r="Z35" s="431"/>
      <c r="AA35" s="276">
        <f t="shared" si="23"/>
      </c>
      <c r="AB35" s="249">
        <f t="shared" si="24"/>
      </c>
      <c r="AC35" s="330">
        <f t="shared" si="25"/>
      </c>
      <c r="AD35" s="102"/>
      <c r="AE35" s="118">
        <f t="shared" si="26"/>
        <v>0</v>
      </c>
      <c r="AF35" s="118">
        <f t="shared" si="27"/>
        <v>0</v>
      </c>
      <c r="AG35" s="118">
        <f t="shared" si="28"/>
        <v>0</v>
      </c>
      <c r="AH35" s="118">
        <f>IF(OR(AE35+AF35+AG35&gt;0,SUM($AE$30:AG34)&gt;0),1,0)</f>
        <v>0</v>
      </c>
      <c r="AI35" s="118">
        <f t="shared" si="29"/>
      </c>
      <c r="AJ35" s="118">
        <f t="shared" si="30"/>
      </c>
      <c r="AK35" s="118">
        <f t="shared" si="31"/>
      </c>
      <c r="AL35" s="118">
        <f t="shared" si="32"/>
      </c>
      <c r="AM35" s="119">
        <f t="shared" si="33"/>
        <v>0</v>
      </c>
      <c r="AN35" s="119">
        <f t="shared" si="34"/>
        <v>0</v>
      </c>
      <c r="AO35" s="119">
        <f t="shared" si="35"/>
      </c>
      <c r="AP35" s="119">
        <f t="shared" si="36"/>
        <v>51</v>
      </c>
      <c r="AQ35" s="119">
        <f t="shared" si="37"/>
        <v>20201231</v>
      </c>
      <c r="AR35" s="119" t="str">
        <f t="shared" si="38"/>
        <v>109.1.1~109.12.31</v>
      </c>
      <c r="AS35" s="120">
        <f t="shared" si="39"/>
      </c>
      <c r="AT35" s="121">
        <f t="shared" si="40"/>
      </c>
      <c r="AU35" s="121">
        <f t="shared" si="41"/>
        <v>0</v>
      </c>
      <c r="AV35" s="119">
        <f t="shared" si="42"/>
      </c>
      <c r="AW35" s="122">
        <f t="shared" si="43"/>
      </c>
      <c r="AX35" s="31">
        <f t="shared" si="44"/>
        <v>0</v>
      </c>
      <c r="AY35" s="7">
        <f t="shared" si="45"/>
        <v>0</v>
      </c>
      <c r="AZ35" s="123">
        <f t="shared" si="46"/>
        <v>0</v>
      </c>
      <c r="BA35" s="123">
        <f t="shared" si="47"/>
        <v>0</v>
      </c>
      <c r="BB35" s="123">
        <f t="shared" si="48"/>
      </c>
      <c r="BC35" s="33"/>
      <c r="BD35" s="165">
        <v>5</v>
      </c>
      <c r="BE35" s="166"/>
      <c r="BF35" s="167"/>
      <c r="BG35" s="168"/>
      <c r="BH35" s="169"/>
      <c r="BI35" s="170"/>
      <c r="BJ35" s="171"/>
      <c r="BK35" s="294">
        <f t="shared" si="1"/>
      </c>
      <c r="BL35" s="292">
        <f t="shared" si="2"/>
      </c>
      <c r="BM35" s="295">
        <f t="shared" si="49"/>
      </c>
      <c r="BN35" s="124">
        <f t="shared" si="3"/>
        <v>3987</v>
      </c>
      <c r="BO35" s="125">
        <f t="shared" si="4"/>
        <v>3987</v>
      </c>
      <c r="BP35" s="125"/>
      <c r="BQ35" s="126"/>
      <c r="BR35" s="126"/>
      <c r="BS35" s="126"/>
      <c r="BT35" s="127">
        <v>50</v>
      </c>
      <c r="BU35" s="127"/>
      <c r="BV35" s="127"/>
      <c r="BW35" s="179">
        <f t="shared" si="5"/>
        <v>23</v>
      </c>
      <c r="BX35" s="7">
        <f t="shared" si="50"/>
        <v>9</v>
      </c>
      <c r="BY35" s="20">
        <f t="shared" si="51"/>
        <v>109</v>
      </c>
      <c r="BZ35" s="2" t="str">
        <f t="shared" si="52"/>
        <v>109.2.5</v>
      </c>
      <c r="CA35" s="181">
        <f t="shared" si="53"/>
        <v>2</v>
      </c>
      <c r="CB35" s="2">
        <f t="shared" si="6"/>
        <v>5</v>
      </c>
      <c r="CC35" s="2" t="str">
        <f t="shared" si="54"/>
        <v>109.9.28</v>
      </c>
      <c r="CD35" s="181">
        <f t="shared" si="95"/>
        <v>9</v>
      </c>
      <c r="CE35" s="2">
        <f t="shared" si="96"/>
        <v>28</v>
      </c>
      <c r="CF35" s="2" t="str">
        <f t="shared" si="55"/>
        <v>生日</v>
      </c>
      <c r="CG35" s="2" t="str">
        <f t="shared" si="56"/>
        <v>109.2.5</v>
      </c>
      <c r="CH35" s="2">
        <f t="shared" si="57"/>
        <v>2</v>
      </c>
      <c r="CI35" s="2" t="str">
        <f t="shared" si="58"/>
        <v>初任</v>
      </c>
      <c r="CJ35" s="2" t="str">
        <f t="shared" si="59"/>
        <v>109.9.28</v>
      </c>
      <c r="CK35" s="2">
        <f t="shared" si="60"/>
        <v>9</v>
      </c>
      <c r="CL35" s="2">
        <f t="shared" si="61"/>
        <v>0</v>
      </c>
      <c r="CM35" s="339">
        <f t="shared" si="62"/>
      </c>
      <c r="CN35" s="2">
        <f t="shared" si="63"/>
      </c>
      <c r="CO35" s="2">
        <f t="shared" si="64"/>
      </c>
      <c r="CP35" s="2">
        <f t="shared" si="65"/>
      </c>
      <c r="CQ35" s="2">
        <f t="shared" si="66"/>
      </c>
      <c r="CR35" s="2">
        <f t="shared" si="7"/>
      </c>
      <c r="CS35" s="128">
        <f t="shared" si="8"/>
      </c>
      <c r="CT35" s="2">
        <f t="shared" si="67"/>
      </c>
      <c r="CU35" s="2">
        <f t="shared" si="68"/>
      </c>
      <c r="CV35" s="128">
        <f t="shared" si="69"/>
      </c>
      <c r="CW35" s="2">
        <f t="shared" si="97"/>
      </c>
      <c r="CX35" s="2">
        <f t="shared" si="70"/>
      </c>
      <c r="CY35" s="128">
        <f t="shared" si="71"/>
      </c>
      <c r="CZ35" s="2">
        <f t="shared" si="72"/>
      </c>
      <c r="DA35" s="2">
        <f t="shared" si="73"/>
      </c>
      <c r="DB35" s="128">
        <f t="shared" si="74"/>
      </c>
      <c r="DC35" s="2">
        <f t="shared" si="75"/>
      </c>
      <c r="DD35" s="2">
        <f t="shared" si="76"/>
      </c>
      <c r="DE35" s="128">
        <f t="shared" si="77"/>
      </c>
      <c r="DF35" s="2"/>
      <c r="DG35" s="2"/>
      <c r="DH35" s="128"/>
      <c r="DI35" s="2">
        <f t="shared" si="78"/>
      </c>
      <c r="DJ35" s="2">
        <f t="shared" si="79"/>
      </c>
      <c r="DK35" s="128">
        <f t="shared" si="80"/>
      </c>
      <c r="DL35" s="128"/>
      <c r="DM35" s="21">
        <f t="shared" si="81"/>
      </c>
      <c r="DN35" s="2">
        <f t="shared" si="82"/>
      </c>
      <c r="DO35" s="2"/>
      <c r="DP35" s="2"/>
      <c r="DQ35" s="2"/>
      <c r="DR35" s="2"/>
      <c r="DS35" s="2"/>
      <c r="DT35" s="2"/>
      <c r="DU35" s="2"/>
      <c r="DV35" s="10"/>
      <c r="DW35" s="2">
        <f t="shared" si="83"/>
      </c>
      <c r="DX35" s="2">
        <f t="shared" si="84"/>
      </c>
      <c r="DY35" s="34"/>
      <c r="DZ35" s="7">
        <f t="shared" si="85"/>
        <v>0</v>
      </c>
      <c r="EA35" s="123">
        <f t="shared" si="86"/>
        <v>0</v>
      </c>
      <c r="EB35" s="211">
        <f t="shared" si="87"/>
      </c>
      <c r="EC35" s="210">
        <f t="shared" si="88"/>
      </c>
      <c r="ED35" s="210">
        <f t="shared" si="89"/>
      </c>
      <c r="EE35" s="34">
        <v>12</v>
      </c>
      <c r="EF35" s="183">
        <v>12</v>
      </c>
      <c r="EG35" s="34">
        <v>12</v>
      </c>
      <c r="EH35" s="34"/>
      <c r="EI35" s="118">
        <f t="shared" si="90"/>
        <v>0</v>
      </c>
      <c r="EJ35" s="34"/>
      <c r="EK35" s="313">
        <f t="shared" si="91"/>
        <v>50</v>
      </c>
      <c r="EL35" s="34"/>
      <c r="EM35" s="34"/>
      <c r="EN35" s="30">
        <f t="shared" si="92"/>
      </c>
      <c r="EO35" s="30">
        <f t="shared" si="9"/>
      </c>
      <c r="EP35" s="20">
        <f t="shared" si="93"/>
      </c>
      <c r="EQ35" s="315"/>
    </row>
    <row r="36" spans="1:147" s="29" customFormat="1" ht="15" customHeight="1">
      <c r="A36" s="143"/>
      <c r="B36" s="149">
        <f t="shared" si="98"/>
        <v>110</v>
      </c>
      <c r="C36" s="26">
        <f t="shared" si="94"/>
        <v>20211231</v>
      </c>
      <c r="D36" s="26" t="str">
        <f t="shared" si="10"/>
        <v>2021</v>
      </c>
      <c r="E36" s="26" t="str">
        <f t="shared" si="11"/>
        <v>12</v>
      </c>
      <c r="F36" s="26" t="str">
        <f t="shared" si="12"/>
        <v>31</v>
      </c>
      <c r="G36" s="300">
        <f t="shared" si="13"/>
        <v>44561</v>
      </c>
      <c r="H36" s="116">
        <f t="shared" si="0"/>
        <v>20</v>
      </c>
      <c r="I36" s="116">
        <f t="shared" si="14"/>
        <v>4</v>
      </c>
      <c r="J36" s="26">
        <f aca="true" t="shared" si="100" ref="J36:J54">IF(BC28=1,"*",IF(G36=DATE(YEAR(G36),MONTH(G36)+1,1)-1,IF($Z$8=DATE(YEAR($Z$8),MONTH($Z$8)+1,1)-1,0,DAY(DATE(YEAR($Z$8),MONTH($Z$8)+1,1)-1)-DAY($Z$8)),IF(DAY(G36)&gt;=DAY($Z$8),DAY(G36)-DAY($Z$8),DATE(YEAR($Z$8),MONTH($Z$8)+1,1)-1-$Z$8+DAY(G36))))</f>
        <v>30</v>
      </c>
      <c r="K36" s="117">
        <f t="shared" si="15"/>
        <v>22</v>
      </c>
      <c r="L36" s="117">
        <f t="shared" si="16"/>
        <v>3</v>
      </c>
      <c r="M36" s="117">
        <f t="shared" si="17"/>
        <v>8</v>
      </c>
      <c r="N36" s="525" t="str">
        <f t="shared" si="99"/>
        <v>110.1.1~110.12.31</v>
      </c>
      <c r="O36" s="526"/>
      <c r="P36" s="526"/>
      <c r="Q36" s="527"/>
      <c r="R36" s="272">
        <v>79</v>
      </c>
      <c r="S36" s="372">
        <f t="shared" si="18"/>
        <v>52</v>
      </c>
      <c r="T36" s="373">
        <f t="shared" si="19"/>
        <v>22</v>
      </c>
      <c r="U36" s="374">
        <f t="shared" si="20"/>
        <v>74</v>
      </c>
      <c r="V36" s="148">
        <f t="shared" si="21"/>
      </c>
      <c r="W36" s="430">
        <f t="shared" si="22"/>
      </c>
      <c r="X36" s="402"/>
      <c r="Y36" s="402"/>
      <c r="Z36" s="431"/>
      <c r="AA36" s="276">
        <f t="shared" si="23"/>
      </c>
      <c r="AB36" s="249">
        <f t="shared" si="24"/>
      </c>
      <c r="AC36" s="330">
        <f t="shared" si="25"/>
      </c>
      <c r="AD36" s="102"/>
      <c r="AE36" s="118">
        <f t="shared" si="26"/>
        <v>0</v>
      </c>
      <c r="AF36" s="118">
        <f t="shared" si="27"/>
        <v>0</v>
      </c>
      <c r="AG36" s="118">
        <f t="shared" si="28"/>
        <v>0</v>
      </c>
      <c r="AH36" s="118">
        <f>IF(OR(AE36+AF36+AG36&gt;0,SUM($AE$30:AG35)&gt;0),1,0)</f>
        <v>0</v>
      </c>
      <c r="AI36" s="118">
        <f t="shared" si="29"/>
      </c>
      <c r="AJ36" s="118">
        <f t="shared" si="30"/>
      </c>
      <c r="AK36" s="118">
        <f t="shared" si="31"/>
      </c>
      <c r="AL36" s="118">
        <f t="shared" si="32"/>
      </c>
      <c r="AM36" s="119">
        <f t="shared" si="33"/>
        <v>0</v>
      </c>
      <c r="AN36" s="119">
        <f t="shared" si="34"/>
        <v>0</v>
      </c>
      <c r="AO36" s="119">
        <f t="shared" si="35"/>
      </c>
      <c r="AP36" s="119">
        <f t="shared" si="36"/>
        <v>52</v>
      </c>
      <c r="AQ36" s="119">
        <f t="shared" si="37"/>
        <v>20211231</v>
      </c>
      <c r="AR36" s="119" t="str">
        <f t="shared" si="38"/>
        <v>110.1.1~110.12.31</v>
      </c>
      <c r="AS36" s="120">
        <f t="shared" si="39"/>
      </c>
      <c r="AT36" s="121">
        <f t="shared" si="40"/>
      </c>
      <c r="AU36" s="121">
        <f t="shared" si="41"/>
        <v>0</v>
      </c>
      <c r="AV36" s="119">
        <f t="shared" si="42"/>
      </c>
      <c r="AW36" s="122">
        <f t="shared" si="43"/>
      </c>
      <c r="AX36" s="31">
        <f t="shared" si="44"/>
        <v>0</v>
      </c>
      <c r="AY36" s="7">
        <f t="shared" si="45"/>
        <v>0</v>
      </c>
      <c r="AZ36" s="123">
        <f t="shared" si="46"/>
        <v>0</v>
      </c>
      <c r="BA36" s="123">
        <f t="shared" si="47"/>
        <v>0</v>
      </c>
      <c r="BB36" s="123">
        <f t="shared" si="48"/>
      </c>
      <c r="BC36" s="33"/>
      <c r="BD36" s="165">
        <v>6</v>
      </c>
      <c r="BE36" s="166"/>
      <c r="BF36" s="167"/>
      <c r="BG36" s="168"/>
      <c r="BH36" s="169"/>
      <c r="BI36" s="170"/>
      <c r="BJ36" s="171"/>
      <c r="BK36" s="294">
        <f t="shared" si="1"/>
      </c>
      <c r="BL36" s="292">
        <f t="shared" si="2"/>
      </c>
      <c r="BM36" s="295">
        <f t="shared" si="49"/>
      </c>
      <c r="BN36" s="124">
        <f t="shared" si="3"/>
        <v>3987</v>
      </c>
      <c r="BO36" s="125">
        <f t="shared" si="4"/>
        <v>3987</v>
      </c>
      <c r="BP36" s="125"/>
      <c r="BQ36" s="126"/>
      <c r="BR36" s="126"/>
      <c r="BS36" s="126"/>
      <c r="BT36" s="127">
        <v>50</v>
      </c>
      <c r="BU36" s="127"/>
      <c r="BV36" s="127"/>
      <c r="BW36" s="179">
        <f t="shared" si="5"/>
        <v>23</v>
      </c>
      <c r="BX36" s="7">
        <f t="shared" si="50"/>
        <v>9</v>
      </c>
      <c r="BY36" s="20">
        <f t="shared" si="51"/>
        <v>110</v>
      </c>
      <c r="BZ36" s="2" t="str">
        <f t="shared" si="52"/>
        <v>110.2.5</v>
      </c>
      <c r="CA36" s="181">
        <f t="shared" si="53"/>
        <v>2</v>
      </c>
      <c r="CB36" s="2">
        <f t="shared" si="6"/>
        <v>5</v>
      </c>
      <c r="CC36" s="2" t="str">
        <f t="shared" si="54"/>
        <v>110.9.28</v>
      </c>
      <c r="CD36" s="181">
        <f t="shared" si="95"/>
        <v>9</v>
      </c>
      <c r="CE36" s="2">
        <f t="shared" si="96"/>
        <v>28</v>
      </c>
      <c r="CF36" s="2" t="str">
        <f t="shared" si="55"/>
        <v>生日</v>
      </c>
      <c r="CG36" s="2" t="str">
        <f t="shared" si="56"/>
        <v>110.2.5</v>
      </c>
      <c r="CH36" s="2">
        <f t="shared" si="57"/>
        <v>2</v>
      </c>
      <c r="CI36" s="2" t="str">
        <f t="shared" si="58"/>
        <v>初任</v>
      </c>
      <c r="CJ36" s="2" t="str">
        <f t="shared" si="59"/>
        <v>110.9.28</v>
      </c>
      <c r="CK36" s="2">
        <f t="shared" si="60"/>
        <v>9</v>
      </c>
      <c r="CL36" s="2">
        <f t="shared" si="61"/>
        <v>0</v>
      </c>
      <c r="CM36" s="339">
        <f t="shared" si="62"/>
      </c>
      <c r="CN36" s="2">
        <f t="shared" si="63"/>
      </c>
      <c r="CO36" s="2">
        <f t="shared" si="64"/>
      </c>
      <c r="CP36" s="2">
        <f t="shared" si="65"/>
      </c>
      <c r="CQ36" s="2">
        <f t="shared" si="66"/>
      </c>
      <c r="CR36" s="2">
        <f t="shared" si="7"/>
      </c>
      <c r="CS36" s="128">
        <f t="shared" si="8"/>
      </c>
      <c r="CT36" s="2">
        <f t="shared" si="67"/>
      </c>
      <c r="CU36" s="2">
        <f t="shared" si="68"/>
      </c>
      <c r="CV36" s="128">
        <f t="shared" si="69"/>
      </c>
      <c r="CW36" s="2">
        <f t="shared" si="97"/>
      </c>
      <c r="CX36" s="2">
        <f t="shared" si="70"/>
      </c>
      <c r="CY36" s="128">
        <f t="shared" si="71"/>
      </c>
      <c r="CZ36" s="2">
        <f t="shared" si="72"/>
      </c>
      <c r="DA36" s="2">
        <f t="shared" si="73"/>
      </c>
      <c r="DB36" s="128">
        <f t="shared" si="74"/>
      </c>
      <c r="DC36" s="2">
        <f t="shared" si="75"/>
      </c>
      <c r="DD36" s="2">
        <f t="shared" si="76"/>
      </c>
      <c r="DE36" s="128">
        <f t="shared" si="77"/>
      </c>
      <c r="DF36" s="2"/>
      <c r="DG36" s="2"/>
      <c r="DH36" s="128"/>
      <c r="DI36" s="2">
        <f t="shared" si="78"/>
      </c>
      <c r="DJ36" s="2">
        <f t="shared" si="79"/>
      </c>
      <c r="DK36" s="128">
        <f t="shared" si="80"/>
      </c>
      <c r="DL36" s="128"/>
      <c r="DM36" s="21">
        <f t="shared" si="81"/>
      </c>
      <c r="DN36" s="2">
        <f t="shared" si="82"/>
      </c>
      <c r="DO36" s="2"/>
      <c r="DP36" s="2"/>
      <c r="DQ36" s="2"/>
      <c r="DR36" s="2"/>
      <c r="DS36" s="2"/>
      <c r="DT36" s="2"/>
      <c r="DU36" s="2"/>
      <c r="DV36" s="10"/>
      <c r="DW36" s="2">
        <f t="shared" si="83"/>
      </c>
      <c r="DX36" s="2">
        <f t="shared" si="84"/>
      </c>
      <c r="DY36" s="34"/>
      <c r="DZ36" s="7">
        <f t="shared" si="85"/>
        <v>0</v>
      </c>
      <c r="EA36" s="123">
        <f t="shared" si="86"/>
        <v>0</v>
      </c>
      <c r="EB36" s="211">
        <f t="shared" si="87"/>
      </c>
      <c r="EC36" s="210">
        <f t="shared" si="88"/>
      </c>
      <c r="ED36" s="210">
        <f t="shared" si="89"/>
      </c>
      <c r="EE36" s="34">
        <v>1</v>
      </c>
      <c r="EF36" s="183">
        <v>13</v>
      </c>
      <c r="EG36" s="34">
        <v>1</v>
      </c>
      <c r="EH36" s="34"/>
      <c r="EI36" s="118">
        <f t="shared" si="90"/>
        <v>0</v>
      </c>
      <c r="EJ36" s="34"/>
      <c r="EK36" s="313">
        <f t="shared" si="91"/>
        <v>50</v>
      </c>
      <c r="EL36" s="34"/>
      <c r="EM36" s="34"/>
      <c r="EN36" s="30">
        <f t="shared" si="92"/>
      </c>
      <c r="EO36" s="30">
        <f t="shared" si="9"/>
      </c>
      <c r="EP36" s="20">
        <f t="shared" si="93"/>
      </c>
      <c r="EQ36" s="315"/>
    </row>
    <row r="37" spans="1:147" s="29" customFormat="1" ht="15" customHeight="1">
      <c r="A37" s="143"/>
      <c r="B37" s="149">
        <f t="shared" si="98"/>
        <v>111</v>
      </c>
      <c r="C37" s="26">
        <f t="shared" si="94"/>
        <v>20221231</v>
      </c>
      <c r="D37" s="26" t="str">
        <f t="shared" si="10"/>
        <v>2022</v>
      </c>
      <c r="E37" s="26" t="str">
        <f t="shared" si="11"/>
        <v>12</v>
      </c>
      <c r="F37" s="26" t="str">
        <f t="shared" si="12"/>
        <v>31</v>
      </c>
      <c r="G37" s="300">
        <f t="shared" si="13"/>
        <v>44926</v>
      </c>
      <c r="H37" s="116">
        <f t="shared" si="0"/>
        <v>21</v>
      </c>
      <c r="I37" s="116">
        <f t="shared" si="14"/>
        <v>4</v>
      </c>
      <c r="J37" s="26">
        <f t="shared" si="100"/>
        <v>30</v>
      </c>
      <c r="K37" s="117">
        <f t="shared" si="15"/>
        <v>23</v>
      </c>
      <c r="L37" s="117">
        <f t="shared" si="16"/>
        <v>3</v>
      </c>
      <c r="M37" s="117">
        <f t="shared" si="17"/>
        <v>8</v>
      </c>
      <c r="N37" s="525" t="str">
        <f t="shared" si="99"/>
        <v>111.1.1~111.12.31</v>
      </c>
      <c r="O37" s="526"/>
      <c r="P37" s="526"/>
      <c r="Q37" s="527"/>
      <c r="R37" s="272">
        <v>80</v>
      </c>
      <c r="S37" s="372">
        <f t="shared" si="18"/>
        <v>53</v>
      </c>
      <c r="T37" s="373">
        <f t="shared" si="19"/>
        <v>23</v>
      </c>
      <c r="U37" s="374">
        <f t="shared" si="20"/>
        <v>76</v>
      </c>
      <c r="V37" s="148">
        <f t="shared" si="21"/>
      </c>
      <c r="W37" s="430">
        <f t="shared" si="22"/>
      </c>
      <c r="X37" s="402"/>
      <c r="Y37" s="402"/>
      <c r="Z37" s="431"/>
      <c r="AA37" s="276">
        <f t="shared" si="23"/>
      </c>
      <c r="AB37" s="249">
        <f t="shared" si="24"/>
      </c>
      <c r="AC37" s="330">
        <f t="shared" si="25"/>
      </c>
      <c r="AD37" s="102"/>
      <c r="AE37" s="118">
        <f t="shared" si="26"/>
        <v>0</v>
      </c>
      <c r="AF37" s="118">
        <f t="shared" si="27"/>
        <v>0</v>
      </c>
      <c r="AG37" s="118">
        <f t="shared" si="28"/>
        <v>0</v>
      </c>
      <c r="AH37" s="118">
        <f>IF(OR(AE37+AF37+AG37&gt;0,SUM($AE$30:AG36)&gt;0),1,0)</f>
        <v>0</v>
      </c>
      <c r="AI37" s="118">
        <f t="shared" si="29"/>
      </c>
      <c r="AJ37" s="118">
        <f t="shared" si="30"/>
      </c>
      <c r="AK37" s="118">
        <f t="shared" si="31"/>
      </c>
      <c r="AL37" s="118">
        <f t="shared" si="32"/>
      </c>
      <c r="AM37" s="119">
        <f t="shared" si="33"/>
        <v>0</v>
      </c>
      <c r="AN37" s="119">
        <f t="shared" si="34"/>
        <v>0</v>
      </c>
      <c r="AO37" s="119">
        <f t="shared" si="35"/>
      </c>
      <c r="AP37" s="119">
        <f t="shared" si="36"/>
        <v>53</v>
      </c>
      <c r="AQ37" s="119">
        <f t="shared" si="37"/>
        <v>20221231</v>
      </c>
      <c r="AR37" s="119" t="str">
        <f t="shared" si="38"/>
        <v>111.1.1~111.12.31</v>
      </c>
      <c r="AS37" s="120">
        <f t="shared" si="39"/>
      </c>
      <c r="AT37" s="121">
        <f t="shared" si="40"/>
      </c>
      <c r="AU37" s="121">
        <f t="shared" si="41"/>
        <v>0</v>
      </c>
      <c r="AV37" s="119">
        <f t="shared" si="42"/>
      </c>
      <c r="AW37" s="122">
        <f t="shared" si="43"/>
      </c>
      <c r="AX37" s="31">
        <f t="shared" si="44"/>
        <v>0</v>
      </c>
      <c r="AY37" s="7">
        <f t="shared" si="45"/>
        <v>0</v>
      </c>
      <c r="AZ37" s="123">
        <f t="shared" si="46"/>
        <v>0</v>
      </c>
      <c r="BA37" s="123">
        <f t="shared" si="47"/>
        <v>0.2</v>
      </c>
      <c r="BB37" s="123">
        <f t="shared" si="48"/>
      </c>
      <c r="BC37" s="33"/>
      <c r="BD37" s="165">
        <v>7</v>
      </c>
      <c r="BE37" s="166"/>
      <c r="BF37" s="167"/>
      <c r="BG37" s="168"/>
      <c r="BH37" s="169"/>
      <c r="BI37" s="170"/>
      <c r="BJ37" s="171"/>
      <c r="BK37" s="294">
        <f t="shared" si="1"/>
      </c>
      <c r="BL37" s="292">
        <f t="shared" si="2"/>
      </c>
      <c r="BM37" s="295">
        <f t="shared" si="49"/>
      </c>
      <c r="BN37" s="124">
        <f t="shared" si="3"/>
        <v>3987</v>
      </c>
      <c r="BO37" s="125">
        <f t="shared" si="4"/>
        <v>3987</v>
      </c>
      <c r="BP37" s="125"/>
      <c r="BQ37" s="126"/>
      <c r="BR37" s="126"/>
      <c r="BS37" s="126"/>
      <c r="BT37" s="127">
        <v>50</v>
      </c>
      <c r="BU37" s="127"/>
      <c r="BV37" s="127"/>
      <c r="BW37" s="179">
        <f t="shared" si="5"/>
        <v>23</v>
      </c>
      <c r="BX37" s="7">
        <f t="shared" si="50"/>
        <v>9</v>
      </c>
      <c r="BY37" s="20">
        <f t="shared" si="51"/>
        <v>111</v>
      </c>
      <c r="BZ37" s="2" t="str">
        <f t="shared" si="52"/>
        <v>111.2.5</v>
      </c>
      <c r="CA37" s="181">
        <f t="shared" si="53"/>
        <v>2</v>
      </c>
      <c r="CB37" s="2">
        <f t="shared" si="6"/>
        <v>5</v>
      </c>
      <c r="CC37" s="2" t="str">
        <f t="shared" si="54"/>
        <v>111.9.28</v>
      </c>
      <c r="CD37" s="181">
        <f t="shared" si="95"/>
        <v>9</v>
      </c>
      <c r="CE37" s="2">
        <f t="shared" si="96"/>
        <v>28</v>
      </c>
      <c r="CF37" s="2" t="str">
        <f t="shared" si="55"/>
        <v>生日</v>
      </c>
      <c r="CG37" s="2" t="str">
        <f t="shared" si="56"/>
        <v>111.2.5</v>
      </c>
      <c r="CH37" s="2">
        <f t="shared" si="57"/>
        <v>2</v>
      </c>
      <c r="CI37" s="2" t="str">
        <f t="shared" si="58"/>
        <v>初任</v>
      </c>
      <c r="CJ37" s="2" t="str">
        <f t="shared" si="59"/>
        <v>111.9.28</v>
      </c>
      <c r="CK37" s="2">
        <f t="shared" si="60"/>
        <v>9</v>
      </c>
      <c r="CL37" s="2">
        <f t="shared" si="61"/>
        <v>0</v>
      </c>
      <c r="CM37" s="339">
        <f t="shared" si="62"/>
      </c>
      <c r="CN37" s="2">
        <f t="shared" si="63"/>
      </c>
      <c r="CO37" s="2">
        <f t="shared" si="64"/>
      </c>
      <c r="CP37" s="2">
        <f t="shared" si="65"/>
      </c>
      <c r="CQ37" s="2">
        <f t="shared" si="66"/>
      </c>
      <c r="CR37" s="2">
        <f t="shared" si="7"/>
      </c>
      <c r="CS37" s="128">
        <f t="shared" si="8"/>
      </c>
      <c r="CT37" s="2">
        <f t="shared" si="67"/>
      </c>
      <c r="CU37" s="2">
        <f t="shared" si="68"/>
      </c>
      <c r="CV37" s="128">
        <f t="shared" si="69"/>
      </c>
      <c r="CW37" s="2">
        <f t="shared" si="97"/>
      </c>
      <c r="CX37" s="2">
        <f t="shared" si="70"/>
      </c>
      <c r="CY37" s="128">
        <f t="shared" si="71"/>
      </c>
      <c r="CZ37" s="2">
        <f t="shared" si="72"/>
      </c>
      <c r="DA37" s="2">
        <f t="shared" si="73"/>
      </c>
      <c r="DB37" s="128">
        <f t="shared" si="74"/>
      </c>
      <c r="DC37" s="2">
        <f t="shared" si="75"/>
      </c>
      <c r="DD37" s="2">
        <f t="shared" si="76"/>
      </c>
      <c r="DE37" s="128">
        <f t="shared" si="77"/>
      </c>
      <c r="DF37" s="2"/>
      <c r="DG37" s="2"/>
      <c r="DH37" s="128"/>
      <c r="DI37" s="2">
        <f t="shared" si="78"/>
      </c>
      <c r="DJ37" s="2">
        <f t="shared" si="79"/>
      </c>
      <c r="DK37" s="128">
        <f t="shared" si="80"/>
      </c>
      <c r="DL37" s="128"/>
      <c r="DM37" s="21">
        <f t="shared" si="81"/>
      </c>
      <c r="DN37" s="2">
        <f t="shared" si="82"/>
      </c>
      <c r="DO37" s="2"/>
      <c r="DP37" s="2"/>
      <c r="DQ37" s="2"/>
      <c r="DR37" s="2"/>
      <c r="DS37" s="2"/>
      <c r="DT37" s="2"/>
      <c r="DU37" s="2"/>
      <c r="DV37" s="10"/>
      <c r="DW37" s="2">
        <f t="shared" si="83"/>
      </c>
      <c r="DX37" s="2">
        <f t="shared" si="84"/>
      </c>
      <c r="DY37" s="34"/>
      <c r="DZ37" s="7">
        <f t="shared" si="85"/>
        <v>0</v>
      </c>
      <c r="EA37" s="123">
        <f t="shared" si="86"/>
        <v>0</v>
      </c>
      <c r="EB37" s="211">
        <f t="shared" si="87"/>
      </c>
      <c r="EC37" s="210">
        <f t="shared" si="88"/>
      </c>
      <c r="ED37" s="210">
        <f t="shared" si="89"/>
      </c>
      <c r="EE37" s="34">
        <v>2</v>
      </c>
      <c r="EF37" s="183">
        <v>14</v>
      </c>
      <c r="EG37" s="34">
        <v>2</v>
      </c>
      <c r="EH37" s="34"/>
      <c r="EI37" s="118">
        <f t="shared" si="90"/>
        <v>0</v>
      </c>
      <c r="EJ37" s="34"/>
      <c r="EK37" s="313">
        <f t="shared" si="91"/>
        <v>50</v>
      </c>
      <c r="EL37" s="34"/>
      <c r="EM37" s="34"/>
      <c r="EN37" s="30">
        <f t="shared" si="92"/>
      </c>
      <c r="EO37" s="30">
        <f t="shared" si="9"/>
      </c>
      <c r="EP37" s="20">
        <f t="shared" si="93"/>
      </c>
      <c r="EQ37" s="315"/>
    </row>
    <row r="38" spans="1:147" s="29" customFormat="1" ht="15" customHeight="1">
      <c r="A38" s="143"/>
      <c r="B38" s="149">
        <f t="shared" si="98"/>
        <v>112</v>
      </c>
      <c r="C38" s="26">
        <f t="shared" si="94"/>
        <v>20231231</v>
      </c>
      <c r="D38" s="26" t="str">
        <f t="shared" si="10"/>
        <v>2023</v>
      </c>
      <c r="E38" s="26" t="str">
        <f t="shared" si="11"/>
        <v>12</v>
      </c>
      <c r="F38" s="26" t="str">
        <f t="shared" si="12"/>
        <v>31</v>
      </c>
      <c r="G38" s="300">
        <f t="shared" si="13"/>
        <v>45291</v>
      </c>
      <c r="H38" s="116">
        <f t="shared" si="0"/>
        <v>22</v>
      </c>
      <c r="I38" s="116">
        <f t="shared" si="14"/>
        <v>4</v>
      </c>
      <c r="J38" s="26">
        <f t="shared" si="100"/>
        <v>30</v>
      </c>
      <c r="K38" s="117">
        <f t="shared" si="15"/>
        <v>24</v>
      </c>
      <c r="L38" s="117">
        <f t="shared" si="16"/>
        <v>3</v>
      </c>
      <c r="M38" s="117">
        <f t="shared" si="17"/>
        <v>8</v>
      </c>
      <c r="N38" s="525" t="str">
        <f t="shared" si="99"/>
        <v>112.1.1~112.12.31</v>
      </c>
      <c r="O38" s="526"/>
      <c r="P38" s="526"/>
      <c r="Q38" s="527"/>
      <c r="R38" s="272">
        <v>81</v>
      </c>
      <c r="S38" s="372">
        <f t="shared" si="18"/>
        <v>54</v>
      </c>
      <c r="T38" s="373">
        <f t="shared" si="19"/>
        <v>24</v>
      </c>
      <c r="U38" s="374">
        <f t="shared" si="20"/>
        <v>78</v>
      </c>
      <c r="V38" s="148">
        <f t="shared" si="21"/>
      </c>
      <c r="W38" s="430">
        <f t="shared" si="22"/>
      </c>
      <c r="X38" s="402"/>
      <c r="Y38" s="402"/>
      <c r="Z38" s="431"/>
      <c r="AA38" s="276">
        <f t="shared" si="23"/>
      </c>
      <c r="AB38" s="249">
        <f t="shared" si="24"/>
      </c>
      <c r="AC38" s="330">
        <f t="shared" si="25"/>
      </c>
      <c r="AD38" s="102"/>
      <c r="AE38" s="118">
        <f t="shared" si="26"/>
        <v>0</v>
      </c>
      <c r="AF38" s="118">
        <f t="shared" si="27"/>
        <v>0</v>
      </c>
      <c r="AG38" s="118">
        <f t="shared" si="28"/>
        <v>0</v>
      </c>
      <c r="AH38" s="118">
        <f>IF(OR(AE38+AF38+AG38&gt;0,SUM($AE$30:AG37)&gt;0),1,0)</f>
        <v>0</v>
      </c>
      <c r="AI38" s="118">
        <f t="shared" si="29"/>
      </c>
      <c r="AJ38" s="118">
        <f t="shared" si="30"/>
      </c>
      <c r="AK38" s="118">
        <f t="shared" si="31"/>
      </c>
      <c r="AL38" s="118">
        <f t="shared" si="32"/>
      </c>
      <c r="AM38" s="119">
        <f t="shared" si="33"/>
        <v>0</v>
      </c>
      <c r="AN38" s="119">
        <f t="shared" si="34"/>
        <v>0</v>
      </c>
      <c r="AO38" s="119">
        <f t="shared" si="35"/>
      </c>
      <c r="AP38" s="119">
        <f t="shared" si="36"/>
        <v>54</v>
      </c>
      <c r="AQ38" s="119">
        <f t="shared" si="37"/>
        <v>20231231</v>
      </c>
      <c r="AR38" s="119" t="str">
        <f t="shared" si="38"/>
        <v>112.1.1~112.12.31</v>
      </c>
      <c r="AS38" s="120">
        <f t="shared" si="39"/>
      </c>
      <c r="AT38" s="121">
        <f t="shared" si="40"/>
      </c>
      <c r="AU38" s="121">
        <f t="shared" si="41"/>
        <v>0</v>
      </c>
      <c r="AV38" s="119">
        <f t="shared" si="42"/>
      </c>
      <c r="AW38" s="122">
        <f t="shared" si="43"/>
      </c>
      <c r="AX38" s="31">
        <f t="shared" si="44"/>
        <v>0</v>
      </c>
      <c r="AY38" s="7">
        <f t="shared" si="45"/>
        <v>0</v>
      </c>
      <c r="AZ38" s="123">
        <f t="shared" si="46"/>
        <v>0</v>
      </c>
      <c r="BA38" s="123">
        <f t="shared" si="47"/>
        <v>0.16</v>
      </c>
      <c r="BB38" s="123">
        <f t="shared" si="48"/>
      </c>
      <c r="BC38" s="33"/>
      <c r="BD38" s="165">
        <v>8</v>
      </c>
      <c r="BE38" s="166"/>
      <c r="BF38" s="167"/>
      <c r="BG38" s="168"/>
      <c r="BH38" s="169"/>
      <c r="BI38" s="170"/>
      <c r="BJ38" s="171"/>
      <c r="BK38" s="294">
        <f t="shared" si="1"/>
      </c>
      <c r="BL38" s="292">
        <f t="shared" si="2"/>
      </c>
      <c r="BM38" s="295">
        <f t="shared" si="49"/>
      </c>
      <c r="BN38" s="124">
        <f t="shared" si="3"/>
        <v>3987</v>
      </c>
      <c r="BO38" s="125">
        <f t="shared" si="4"/>
        <v>3987</v>
      </c>
      <c r="BP38" s="125"/>
      <c r="BQ38" s="126"/>
      <c r="BR38" s="126"/>
      <c r="BS38" s="126"/>
      <c r="BT38" s="127">
        <v>50</v>
      </c>
      <c r="BU38" s="127"/>
      <c r="BV38" s="127"/>
      <c r="BW38" s="179">
        <f t="shared" si="5"/>
        <v>23</v>
      </c>
      <c r="BX38" s="7">
        <f t="shared" si="50"/>
        <v>9</v>
      </c>
      <c r="BY38" s="20">
        <f t="shared" si="51"/>
        <v>112</v>
      </c>
      <c r="BZ38" s="2" t="str">
        <f t="shared" si="52"/>
        <v>112.2.5</v>
      </c>
      <c r="CA38" s="181">
        <f t="shared" si="53"/>
        <v>2</v>
      </c>
      <c r="CB38" s="2">
        <f t="shared" si="6"/>
        <v>5</v>
      </c>
      <c r="CC38" s="2" t="str">
        <f t="shared" si="54"/>
        <v>112.9.28</v>
      </c>
      <c r="CD38" s="181">
        <f t="shared" si="95"/>
        <v>9</v>
      </c>
      <c r="CE38" s="2">
        <f t="shared" si="96"/>
        <v>28</v>
      </c>
      <c r="CF38" s="2" t="str">
        <f t="shared" si="55"/>
        <v>生日</v>
      </c>
      <c r="CG38" s="2" t="str">
        <f t="shared" si="56"/>
        <v>112.2.5</v>
      </c>
      <c r="CH38" s="2">
        <f t="shared" si="57"/>
        <v>2</v>
      </c>
      <c r="CI38" s="2" t="str">
        <f t="shared" si="58"/>
        <v>初任</v>
      </c>
      <c r="CJ38" s="2" t="str">
        <f t="shared" si="59"/>
        <v>112.9.28</v>
      </c>
      <c r="CK38" s="2">
        <f t="shared" si="60"/>
        <v>9</v>
      </c>
      <c r="CL38" s="2">
        <f t="shared" si="61"/>
        <v>0</v>
      </c>
      <c r="CM38" s="339">
        <f t="shared" si="62"/>
      </c>
      <c r="CN38" s="2">
        <f t="shared" si="63"/>
      </c>
      <c r="CO38" s="2">
        <f t="shared" si="64"/>
      </c>
      <c r="CP38" s="2">
        <f t="shared" si="65"/>
      </c>
      <c r="CQ38" s="2">
        <f t="shared" si="66"/>
      </c>
      <c r="CR38" s="2">
        <f t="shared" si="7"/>
      </c>
      <c r="CS38" s="128">
        <f t="shared" si="8"/>
      </c>
      <c r="CT38" s="2">
        <f t="shared" si="67"/>
      </c>
      <c r="CU38" s="2">
        <f t="shared" si="68"/>
      </c>
      <c r="CV38" s="128">
        <f t="shared" si="69"/>
      </c>
      <c r="CW38" s="2">
        <f t="shared" si="97"/>
      </c>
      <c r="CX38" s="2">
        <f t="shared" si="70"/>
      </c>
      <c r="CY38" s="128">
        <f t="shared" si="71"/>
      </c>
      <c r="CZ38" s="2">
        <f t="shared" si="72"/>
      </c>
      <c r="DA38" s="2">
        <f t="shared" si="73"/>
      </c>
      <c r="DB38" s="128">
        <f t="shared" si="74"/>
      </c>
      <c r="DC38" s="2">
        <f t="shared" si="75"/>
      </c>
      <c r="DD38" s="2">
        <f t="shared" si="76"/>
      </c>
      <c r="DE38" s="128">
        <f t="shared" si="77"/>
      </c>
      <c r="DF38" s="2"/>
      <c r="DG38" s="2"/>
      <c r="DH38" s="128"/>
      <c r="DI38" s="2">
        <f t="shared" si="78"/>
      </c>
      <c r="DJ38" s="2">
        <f t="shared" si="79"/>
      </c>
      <c r="DK38" s="128">
        <f t="shared" si="80"/>
      </c>
      <c r="DL38" s="128"/>
      <c r="DM38" s="21">
        <f t="shared" si="81"/>
      </c>
      <c r="DN38" s="2">
        <f t="shared" si="82"/>
      </c>
      <c r="DO38" s="2"/>
      <c r="DP38" s="2"/>
      <c r="DQ38" s="2"/>
      <c r="DR38" s="2"/>
      <c r="DS38" s="2"/>
      <c r="DT38" s="2"/>
      <c r="DU38" s="2"/>
      <c r="DV38" s="10"/>
      <c r="DW38" s="2">
        <f t="shared" si="83"/>
      </c>
      <c r="DX38" s="2">
        <f t="shared" si="84"/>
      </c>
      <c r="DY38" s="34"/>
      <c r="DZ38" s="7">
        <f t="shared" si="85"/>
        <v>0</v>
      </c>
      <c r="EA38" s="123">
        <f t="shared" si="86"/>
        <v>0</v>
      </c>
      <c r="EB38" s="211">
        <f t="shared" si="87"/>
      </c>
      <c r="EC38" s="210">
        <f t="shared" si="88"/>
      </c>
      <c r="ED38" s="210">
        <f t="shared" si="89"/>
      </c>
      <c r="EE38" s="34">
        <v>3</v>
      </c>
      <c r="EF38" s="183">
        <v>15</v>
      </c>
      <c r="EG38" s="34">
        <v>3</v>
      </c>
      <c r="EH38" s="34"/>
      <c r="EI38" s="118">
        <f t="shared" si="90"/>
        <v>0</v>
      </c>
      <c r="EJ38" s="34"/>
      <c r="EK38" s="313">
        <f t="shared" si="91"/>
        <v>50</v>
      </c>
      <c r="EL38" s="34"/>
      <c r="EM38" s="34"/>
      <c r="EN38" s="30">
        <f t="shared" si="92"/>
      </c>
      <c r="EO38" s="30">
        <f t="shared" si="9"/>
      </c>
      <c r="EP38" s="20">
        <f t="shared" si="93"/>
      </c>
      <c r="EQ38" s="315"/>
    </row>
    <row r="39" spans="1:147" s="29" customFormat="1" ht="15" customHeight="1">
      <c r="A39" s="143"/>
      <c r="B39" s="214">
        <f t="shared" si="98"/>
        <v>113</v>
      </c>
      <c r="C39" s="26">
        <f t="shared" si="94"/>
        <v>20241231</v>
      </c>
      <c r="D39" s="26" t="str">
        <f t="shared" si="10"/>
        <v>2024</v>
      </c>
      <c r="E39" s="26" t="str">
        <f t="shared" si="11"/>
        <v>12</v>
      </c>
      <c r="F39" s="26" t="str">
        <f t="shared" si="12"/>
        <v>31</v>
      </c>
      <c r="G39" s="300">
        <f t="shared" si="13"/>
        <v>45657</v>
      </c>
      <c r="H39" s="116">
        <f t="shared" si="0"/>
        <v>23</v>
      </c>
      <c r="I39" s="116">
        <f t="shared" si="14"/>
        <v>4</v>
      </c>
      <c r="J39" s="26">
        <f t="shared" si="100"/>
        <v>30</v>
      </c>
      <c r="K39" s="117">
        <f t="shared" si="15"/>
        <v>25</v>
      </c>
      <c r="L39" s="117">
        <f t="shared" si="16"/>
        <v>3</v>
      </c>
      <c r="M39" s="117">
        <f t="shared" si="17"/>
        <v>8</v>
      </c>
      <c r="N39" s="525" t="str">
        <f t="shared" si="99"/>
        <v>113.1.1~113.12.31</v>
      </c>
      <c r="O39" s="526"/>
      <c r="P39" s="526"/>
      <c r="Q39" s="527"/>
      <c r="R39" s="272">
        <v>82</v>
      </c>
      <c r="S39" s="372">
        <f t="shared" si="18"/>
        <v>55</v>
      </c>
      <c r="T39" s="373">
        <f t="shared" si="19"/>
        <v>25</v>
      </c>
      <c r="U39" s="374">
        <f t="shared" si="20"/>
        <v>80</v>
      </c>
      <c r="V39" s="148">
        <f t="shared" si="21"/>
      </c>
      <c r="W39" s="430">
        <f t="shared" si="22"/>
      </c>
      <c r="X39" s="402"/>
      <c r="Y39" s="402"/>
      <c r="Z39" s="431"/>
      <c r="AA39" s="276">
        <f t="shared" si="23"/>
      </c>
      <c r="AB39" s="249" t="str">
        <f t="shared" si="24"/>
        <v>●</v>
      </c>
      <c r="AC39" s="330">
        <f t="shared" si="25"/>
        <v>-0.12</v>
      </c>
      <c r="AD39" s="102"/>
      <c r="AE39" s="118">
        <f t="shared" si="26"/>
        <v>0</v>
      </c>
      <c r="AF39" s="118">
        <f t="shared" si="27"/>
        <v>0</v>
      </c>
      <c r="AG39" s="118">
        <f t="shared" si="28"/>
        <v>0</v>
      </c>
      <c r="AH39" s="118">
        <f>IF(OR(AE39+AF39+AG39&gt;0,SUM($AE$30:AG38)&gt;0),1,0)</f>
        <v>0</v>
      </c>
      <c r="AI39" s="118">
        <f t="shared" si="29"/>
      </c>
      <c r="AJ39" s="118">
        <f t="shared" si="30"/>
      </c>
      <c r="AK39" s="118">
        <f t="shared" si="31"/>
      </c>
      <c r="AL39" s="118">
        <f t="shared" si="32"/>
      </c>
      <c r="AM39" s="119">
        <f t="shared" si="33"/>
        <v>0</v>
      </c>
      <c r="AN39" s="119">
        <f t="shared" si="34"/>
        <v>0</v>
      </c>
      <c r="AO39" s="119">
        <f t="shared" si="35"/>
      </c>
      <c r="AP39" s="119">
        <f t="shared" si="36"/>
        <v>55</v>
      </c>
      <c r="AQ39" s="119">
        <f t="shared" si="37"/>
        <v>20241231</v>
      </c>
      <c r="AR39" s="119" t="str">
        <f t="shared" si="38"/>
        <v>113.1.1~113.12.31</v>
      </c>
      <c r="AS39" s="120">
        <f t="shared" si="39"/>
      </c>
      <c r="AT39" s="121">
        <f t="shared" si="40"/>
      </c>
      <c r="AU39" s="121">
        <f t="shared" si="41"/>
        <v>1</v>
      </c>
      <c r="AV39" s="119" t="str">
        <f t="shared" si="42"/>
        <v>★</v>
      </c>
      <c r="AW39" s="122">
        <f t="shared" si="43"/>
      </c>
      <c r="AX39" s="31">
        <f t="shared" si="44"/>
        <v>1</v>
      </c>
      <c r="AY39" s="7">
        <f t="shared" si="45"/>
        <v>0</v>
      </c>
      <c r="AZ39" s="123">
        <f t="shared" si="46"/>
        <v>0</v>
      </c>
      <c r="BA39" s="123">
        <f t="shared" si="47"/>
        <v>0.12</v>
      </c>
      <c r="BB39" s="123">
        <f t="shared" si="48"/>
        <v>0.12</v>
      </c>
      <c r="BC39" s="33"/>
      <c r="BD39" s="165">
        <v>9</v>
      </c>
      <c r="BE39" s="166"/>
      <c r="BF39" s="167"/>
      <c r="BG39" s="168"/>
      <c r="BH39" s="169"/>
      <c r="BI39" s="170"/>
      <c r="BJ39" s="171"/>
      <c r="BK39" s="294">
        <f t="shared" si="1"/>
      </c>
      <c r="BL39" s="292">
        <f t="shared" si="2"/>
      </c>
      <c r="BM39" s="295">
        <f t="shared" si="49"/>
      </c>
      <c r="BN39" s="124">
        <f t="shared" si="3"/>
        <v>3987</v>
      </c>
      <c r="BO39" s="125">
        <f t="shared" si="4"/>
        <v>3987</v>
      </c>
      <c r="BP39" s="125"/>
      <c r="BQ39" s="126"/>
      <c r="BR39" s="126"/>
      <c r="BS39" s="126"/>
      <c r="BT39" s="127">
        <v>50</v>
      </c>
      <c r="BU39" s="127"/>
      <c r="BV39" s="127"/>
      <c r="BW39" s="179">
        <f t="shared" si="5"/>
        <v>23</v>
      </c>
      <c r="BX39" s="7">
        <f t="shared" si="50"/>
        <v>9</v>
      </c>
      <c r="BY39" s="20">
        <f t="shared" si="51"/>
        <v>113</v>
      </c>
      <c r="BZ39" s="2" t="str">
        <f t="shared" si="52"/>
        <v>113.2.5</v>
      </c>
      <c r="CA39" s="181">
        <f t="shared" si="53"/>
        <v>2</v>
      </c>
      <c r="CB39" s="2">
        <f t="shared" si="6"/>
        <v>5</v>
      </c>
      <c r="CC39" s="2" t="str">
        <f t="shared" si="54"/>
        <v>113.9.28</v>
      </c>
      <c r="CD39" s="181">
        <f t="shared" si="95"/>
        <v>9</v>
      </c>
      <c r="CE39" s="2">
        <f t="shared" si="96"/>
        <v>28</v>
      </c>
      <c r="CF39" s="2" t="str">
        <f t="shared" si="55"/>
        <v>生日</v>
      </c>
      <c r="CG39" s="2" t="str">
        <f t="shared" si="56"/>
        <v>113.2.5</v>
      </c>
      <c r="CH39" s="2">
        <f t="shared" si="57"/>
        <v>2</v>
      </c>
      <c r="CI39" s="2" t="str">
        <f t="shared" si="58"/>
        <v>初任</v>
      </c>
      <c r="CJ39" s="2" t="str">
        <f t="shared" si="59"/>
        <v>113.9.28</v>
      </c>
      <c r="CK39" s="2">
        <f t="shared" si="60"/>
        <v>9</v>
      </c>
      <c r="CL39" s="2">
        <f t="shared" si="61"/>
        <v>0</v>
      </c>
      <c r="CM39" s="339">
        <f t="shared" si="62"/>
      </c>
      <c r="CN39" s="2">
        <f t="shared" si="63"/>
      </c>
      <c r="CO39" s="2">
        <f t="shared" si="64"/>
      </c>
      <c r="CP39" s="2">
        <f t="shared" si="65"/>
      </c>
      <c r="CQ39" s="2">
        <f t="shared" si="66"/>
      </c>
      <c r="CR39" s="2">
        <f t="shared" si="7"/>
      </c>
      <c r="CS39" s="323">
        <f t="shared" si="8"/>
      </c>
      <c r="CT39" s="2">
        <f t="shared" si="67"/>
      </c>
      <c r="CU39" s="2">
        <f t="shared" si="68"/>
      </c>
      <c r="CV39" s="128">
        <f t="shared" si="69"/>
      </c>
      <c r="CW39" s="2" t="str">
        <f t="shared" si="97"/>
        <v>113.9.28</v>
      </c>
      <c r="CX39" s="2">
        <f t="shared" si="70"/>
        <v>9</v>
      </c>
      <c r="CY39" s="128" t="str">
        <f t="shared" si="71"/>
        <v>114.2.1。【說明：原實際條件成就時間為113.9.28，惟因必須配合學期而延至當學期結束之次日，始能退休生效，爰推算為114.2.1】</v>
      </c>
      <c r="CZ39" s="2">
        <f t="shared" si="72"/>
      </c>
      <c r="DA39" s="2">
        <f t="shared" si="73"/>
      </c>
      <c r="DB39" s="323">
        <f t="shared" si="74"/>
      </c>
      <c r="DC39" s="2">
        <f t="shared" si="75"/>
      </c>
      <c r="DD39" s="2">
        <f t="shared" si="76"/>
      </c>
      <c r="DE39" s="128">
        <f t="shared" si="77"/>
      </c>
      <c r="DF39" s="2"/>
      <c r="DG39" s="2"/>
      <c r="DH39" s="128"/>
      <c r="DI39" s="2">
        <f t="shared" si="78"/>
      </c>
      <c r="DJ39" s="2">
        <f t="shared" si="79"/>
      </c>
      <c r="DK39" s="128">
        <f t="shared" si="80"/>
      </c>
      <c r="DL39" s="128"/>
      <c r="DM39" s="21" t="str">
        <f t="shared" si="81"/>
        <v>114.2.1。【說明：原實際條件成就時間為113.9.28，惟因必須配合學期而延至當學期結束之次日，始能退休生效，爰推算為114.2.1】</v>
      </c>
      <c r="DN39" s="2" t="str">
        <f t="shared" si="82"/>
        <v>113.9.28</v>
      </c>
      <c r="DO39" s="2"/>
      <c r="DP39" s="2"/>
      <c r="DQ39" s="2"/>
      <c r="DR39" s="2"/>
      <c r="DS39" s="2"/>
      <c r="DT39" s="2"/>
      <c r="DU39" s="2"/>
      <c r="DV39" s="10"/>
      <c r="DW39" s="2">
        <f t="shared" si="83"/>
        <v>114</v>
      </c>
      <c r="DX39" s="2">
        <f t="shared" si="84"/>
      </c>
      <c r="DY39" s="34"/>
      <c r="DZ39" s="7">
        <f t="shared" si="85"/>
        <v>1</v>
      </c>
      <c r="EA39" s="123">
        <f t="shared" si="86"/>
        <v>0</v>
      </c>
      <c r="EB39" s="211" t="str">
        <f t="shared" si="87"/>
        <v>●</v>
      </c>
      <c r="EC39" s="210" t="str">
        <f t="shared" si="88"/>
        <v>●</v>
      </c>
      <c r="ED39" s="210">
        <f t="shared" si="89"/>
        <v>-0.12</v>
      </c>
      <c r="EE39" s="34">
        <v>4</v>
      </c>
      <c r="EF39" s="183">
        <v>16</v>
      </c>
      <c r="EG39" s="34">
        <v>4</v>
      </c>
      <c r="EH39" s="34"/>
      <c r="EI39" s="118">
        <f t="shared" si="90"/>
        <v>0</v>
      </c>
      <c r="EJ39" s="34"/>
      <c r="EK39" s="313">
        <f t="shared" si="91"/>
        <v>50</v>
      </c>
      <c r="EL39" s="34"/>
      <c r="EM39" s="34"/>
      <c r="EN39" s="30">
        <f t="shared" si="92"/>
      </c>
      <c r="EO39" s="30">
        <f t="shared" si="9"/>
      </c>
      <c r="EP39" s="20">
        <f t="shared" si="93"/>
      </c>
      <c r="EQ39" s="315"/>
    </row>
    <row r="40" spans="1:147" s="29" customFormat="1" ht="15" customHeight="1">
      <c r="A40" s="143"/>
      <c r="B40" s="214">
        <f t="shared" si="98"/>
        <v>114</v>
      </c>
      <c r="C40" s="26">
        <f t="shared" si="94"/>
        <v>20251231</v>
      </c>
      <c r="D40" s="26" t="str">
        <f t="shared" si="10"/>
        <v>2025</v>
      </c>
      <c r="E40" s="26" t="str">
        <f t="shared" si="11"/>
        <v>12</v>
      </c>
      <c r="F40" s="26" t="str">
        <f t="shared" si="12"/>
        <v>31</v>
      </c>
      <c r="G40" s="300">
        <f t="shared" si="13"/>
        <v>46022</v>
      </c>
      <c r="H40" s="116">
        <f t="shared" si="0"/>
        <v>24</v>
      </c>
      <c r="I40" s="116">
        <f t="shared" si="14"/>
        <v>4</v>
      </c>
      <c r="J40" s="26">
        <f t="shared" si="100"/>
        <v>30</v>
      </c>
      <c r="K40" s="117">
        <f t="shared" si="15"/>
        <v>26</v>
      </c>
      <c r="L40" s="117">
        <f t="shared" si="16"/>
        <v>3</v>
      </c>
      <c r="M40" s="117">
        <f t="shared" si="17"/>
        <v>8</v>
      </c>
      <c r="N40" s="525" t="str">
        <f t="shared" si="99"/>
        <v>114.1.1~114.12.31</v>
      </c>
      <c r="O40" s="526"/>
      <c r="P40" s="526"/>
      <c r="Q40" s="527"/>
      <c r="R40" s="272">
        <v>83</v>
      </c>
      <c r="S40" s="372">
        <f t="shared" si="18"/>
        <v>56</v>
      </c>
      <c r="T40" s="373">
        <f t="shared" si="19"/>
        <v>26</v>
      </c>
      <c r="U40" s="374">
        <f t="shared" si="20"/>
        <v>82</v>
      </c>
      <c r="V40" s="148">
        <f t="shared" si="21"/>
      </c>
      <c r="W40" s="430">
        <f t="shared" si="22"/>
      </c>
      <c r="X40" s="402"/>
      <c r="Y40" s="402"/>
      <c r="Z40" s="431"/>
      <c r="AA40" s="276">
        <f t="shared" si="23"/>
      </c>
      <c r="AB40" s="249" t="str">
        <f t="shared" si="24"/>
        <v>●</v>
      </c>
      <c r="AC40" s="330">
        <f t="shared" si="25"/>
        <v>-0.08</v>
      </c>
      <c r="AD40" s="102"/>
      <c r="AE40" s="118">
        <f t="shared" si="26"/>
        <v>0</v>
      </c>
      <c r="AF40" s="118">
        <f t="shared" si="27"/>
        <v>0</v>
      </c>
      <c r="AG40" s="118">
        <f t="shared" si="28"/>
        <v>0</v>
      </c>
      <c r="AH40" s="118">
        <f>IF(OR(AE40+AF40+AG40&gt;0,SUM($AE$30:AG39)&gt;0),1,0)</f>
        <v>0</v>
      </c>
      <c r="AI40" s="118">
        <f t="shared" si="29"/>
      </c>
      <c r="AJ40" s="118">
        <f t="shared" si="30"/>
      </c>
      <c r="AK40" s="118">
        <f t="shared" si="31"/>
      </c>
      <c r="AL40" s="118">
        <f t="shared" si="32"/>
      </c>
      <c r="AM40" s="119">
        <f t="shared" si="33"/>
        <v>0</v>
      </c>
      <c r="AN40" s="119">
        <f t="shared" si="34"/>
        <v>0</v>
      </c>
      <c r="AO40" s="119">
        <f t="shared" si="35"/>
      </c>
      <c r="AP40" s="119">
        <f t="shared" si="36"/>
        <v>56</v>
      </c>
      <c r="AQ40" s="119">
        <f t="shared" si="37"/>
        <v>20251231</v>
      </c>
      <c r="AR40" s="119" t="str">
        <f t="shared" si="38"/>
        <v>114.1.1~114.12.31</v>
      </c>
      <c r="AS40" s="120">
        <f t="shared" si="39"/>
      </c>
      <c r="AT40" s="121">
        <f t="shared" si="40"/>
      </c>
      <c r="AU40" s="121">
        <f t="shared" si="41"/>
        <v>1</v>
      </c>
      <c r="AV40" s="119">
        <f t="shared" si="42"/>
      </c>
      <c r="AW40" s="122">
        <f t="shared" si="43"/>
      </c>
      <c r="AX40" s="31">
        <f t="shared" si="44"/>
        <v>1</v>
      </c>
      <c r="AY40" s="7">
        <f t="shared" si="45"/>
        <v>0</v>
      </c>
      <c r="AZ40" s="123">
        <f t="shared" si="46"/>
        <v>0</v>
      </c>
      <c r="BA40" s="123">
        <f t="shared" si="47"/>
        <v>0.08</v>
      </c>
      <c r="BB40" s="123">
        <f t="shared" si="48"/>
        <v>0.08</v>
      </c>
      <c r="BC40" s="33"/>
      <c r="BD40" s="165">
        <v>10</v>
      </c>
      <c r="BE40" s="166"/>
      <c r="BF40" s="167"/>
      <c r="BG40" s="168"/>
      <c r="BH40" s="169"/>
      <c r="BI40" s="170"/>
      <c r="BJ40" s="171"/>
      <c r="BK40" s="294">
        <f t="shared" si="1"/>
      </c>
      <c r="BL40" s="292">
        <f t="shared" si="2"/>
      </c>
      <c r="BM40" s="295">
        <f t="shared" si="49"/>
      </c>
      <c r="BN40" s="124">
        <f t="shared" si="3"/>
        <v>3987</v>
      </c>
      <c r="BO40" s="125">
        <f t="shared" si="4"/>
        <v>3987</v>
      </c>
      <c r="BP40" s="125"/>
      <c r="BQ40" s="126"/>
      <c r="BR40" s="126"/>
      <c r="BS40" s="126"/>
      <c r="BT40" s="127">
        <v>50</v>
      </c>
      <c r="BU40" s="127"/>
      <c r="BV40" s="127"/>
      <c r="BW40" s="179">
        <f t="shared" si="5"/>
        <v>23</v>
      </c>
      <c r="BX40" s="7">
        <f t="shared" si="50"/>
        <v>9</v>
      </c>
      <c r="BY40" s="20">
        <f t="shared" si="51"/>
        <v>114</v>
      </c>
      <c r="BZ40" s="2" t="str">
        <f t="shared" si="52"/>
        <v>114.2.5</v>
      </c>
      <c r="CA40" s="181">
        <f t="shared" si="53"/>
        <v>2</v>
      </c>
      <c r="CB40" s="2">
        <f t="shared" si="6"/>
        <v>5</v>
      </c>
      <c r="CC40" s="2" t="str">
        <f t="shared" si="54"/>
        <v>114.9.28</v>
      </c>
      <c r="CD40" s="181">
        <f t="shared" si="95"/>
        <v>9</v>
      </c>
      <c r="CE40" s="2">
        <f t="shared" si="96"/>
        <v>28</v>
      </c>
      <c r="CF40" s="2" t="str">
        <f t="shared" si="55"/>
        <v>生日</v>
      </c>
      <c r="CG40" s="2" t="str">
        <f t="shared" si="56"/>
        <v>114.2.5</v>
      </c>
      <c r="CH40" s="2">
        <f t="shared" si="57"/>
        <v>2</v>
      </c>
      <c r="CI40" s="2" t="str">
        <f t="shared" si="58"/>
        <v>初任</v>
      </c>
      <c r="CJ40" s="2" t="str">
        <f t="shared" si="59"/>
        <v>114.9.28</v>
      </c>
      <c r="CK40" s="2">
        <f t="shared" si="60"/>
        <v>9</v>
      </c>
      <c r="CL40" s="2">
        <f t="shared" si="61"/>
        <v>0</v>
      </c>
      <c r="CM40" s="339">
        <f t="shared" si="62"/>
      </c>
      <c r="CN40" s="2">
        <f t="shared" si="63"/>
      </c>
      <c r="CO40" s="2">
        <f t="shared" si="64"/>
      </c>
      <c r="CP40" s="2">
        <f t="shared" si="65"/>
      </c>
      <c r="CQ40" s="2">
        <f t="shared" si="66"/>
      </c>
      <c r="CR40" s="2">
        <f t="shared" si="7"/>
      </c>
      <c r="CS40" s="128">
        <f t="shared" si="8"/>
      </c>
      <c r="CT40" s="2">
        <f t="shared" si="67"/>
      </c>
      <c r="CU40" s="2">
        <f t="shared" si="68"/>
      </c>
      <c r="CV40" s="128">
        <f t="shared" si="69"/>
      </c>
      <c r="CW40" s="2" t="str">
        <f t="shared" si="97"/>
        <v>114.1.1</v>
      </c>
      <c r="CX40" s="2">
        <f t="shared" si="70"/>
        <v>1</v>
      </c>
      <c r="CY40" s="128" t="str">
        <f t="shared" si="71"/>
        <v>114.2.1。【說明：原實際條件成就時間為114.1.1，惟因必須配合學期而延至當學期結束之次日，始能退休生效，爰推算為114.2.1】</v>
      </c>
      <c r="CZ40" s="2">
        <f t="shared" si="72"/>
      </c>
      <c r="DA40" s="2">
        <f t="shared" si="73"/>
      </c>
      <c r="DB40" s="128">
        <f t="shared" si="74"/>
      </c>
      <c r="DC40" s="2">
        <f t="shared" si="75"/>
      </c>
      <c r="DD40" s="2">
        <f t="shared" si="76"/>
      </c>
      <c r="DE40" s="128">
        <f t="shared" si="77"/>
      </c>
      <c r="DF40" s="2"/>
      <c r="DG40" s="2"/>
      <c r="DH40" s="128"/>
      <c r="DI40" s="2">
        <f t="shared" si="78"/>
      </c>
      <c r="DJ40" s="2">
        <f t="shared" si="79"/>
      </c>
      <c r="DK40" s="128">
        <f t="shared" si="80"/>
      </c>
      <c r="DL40" s="128"/>
      <c r="DM40" s="21" t="str">
        <f t="shared" si="81"/>
        <v>114.2.1。【說明：原實際條件成就時間為114.1.1，惟因必須配合學期而延至當學期結束之次日，始能退休生效，爰推算為114.2.1】</v>
      </c>
      <c r="DN40" s="2" t="str">
        <f t="shared" si="82"/>
        <v>114.1.1</v>
      </c>
      <c r="DO40" s="2"/>
      <c r="DP40" s="2"/>
      <c r="DQ40" s="2"/>
      <c r="DR40" s="2"/>
      <c r="DS40" s="2"/>
      <c r="DT40" s="2"/>
      <c r="DU40" s="2"/>
      <c r="DV40" s="10"/>
      <c r="DW40" s="2">
        <f t="shared" si="83"/>
        <v>114</v>
      </c>
      <c r="DX40" s="2">
        <f t="shared" si="84"/>
      </c>
      <c r="DY40" s="34"/>
      <c r="DZ40" s="7">
        <f t="shared" si="85"/>
        <v>1</v>
      </c>
      <c r="EA40" s="123">
        <f t="shared" si="86"/>
        <v>0</v>
      </c>
      <c r="EB40" s="211" t="str">
        <f t="shared" si="87"/>
        <v>●</v>
      </c>
      <c r="EC40" s="210" t="str">
        <f t="shared" si="88"/>
        <v>●</v>
      </c>
      <c r="ED40" s="210">
        <f t="shared" si="89"/>
        <v>-0.08</v>
      </c>
      <c r="EE40" s="34">
        <v>5</v>
      </c>
      <c r="EF40" s="183">
        <v>17</v>
      </c>
      <c r="EG40" s="34">
        <v>5</v>
      </c>
      <c r="EH40" s="34"/>
      <c r="EI40" s="118">
        <f t="shared" si="90"/>
        <v>0</v>
      </c>
      <c r="EJ40" s="34"/>
      <c r="EK40" s="313">
        <f t="shared" si="91"/>
        <v>50</v>
      </c>
      <c r="EL40" s="34"/>
      <c r="EM40" s="34"/>
      <c r="EN40" s="30">
        <f t="shared" si="92"/>
      </c>
      <c r="EO40" s="30">
        <f t="shared" si="9"/>
      </c>
      <c r="EP40" s="20">
        <f t="shared" si="93"/>
      </c>
      <c r="EQ40" s="315"/>
    </row>
    <row r="41" spans="1:147" s="29" customFormat="1" ht="15" customHeight="1" thickBot="1">
      <c r="A41" s="143"/>
      <c r="B41" s="214">
        <f t="shared" si="98"/>
        <v>115</v>
      </c>
      <c r="C41" s="26">
        <f t="shared" si="94"/>
        <v>20261231</v>
      </c>
      <c r="D41" s="26" t="str">
        <f t="shared" si="10"/>
        <v>2026</v>
      </c>
      <c r="E41" s="26" t="str">
        <f t="shared" si="11"/>
        <v>12</v>
      </c>
      <c r="F41" s="26" t="str">
        <f t="shared" si="12"/>
        <v>31</v>
      </c>
      <c r="G41" s="300">
        <f t="shared" si="13"/>
        <v>46387</v>
      </c>
      <c r="H41" s="116">
        <f t="shared" si="0"/>
        <v>25</v>
      </c>
      <c r="I41" s="116">
        <f t="shared" si="14"/>
        <v>4</v>
      </c>
      <c r="J41" s="26">
        <f t="shared" si="100"/>
        <v>30</v>
      </c>
      <c r="K41" s="117">
        <f t="shared" si="15"/>
        <v>27</v>
      </c>
      <c r="L41" s="117">
        <f t="shared" si="16"/>
        <v>3</v>
      </c>
      <c r="M41" s="117">
        <f t="shared" si="17"/>
        <v>8</v>
      </c>
      <c r="N41" s="528" t="str">
        <f t="shared" si="99"/>
        <v>115.1.1~115.12.31</v>
      </c>
      <c r="O41" s="529"/>
      <c r="P41" s="529"/>
      <c r="Q41" s="530"/>
      <c r="R41" s="301">
        <v>84</v>
      </c>
      <c r="S41" s="302">
        <f t="shared" si="18"/>
        <v>57</v>
      </c>
      <c r="T41" s="303">
        <f t="shared" si="19"/>
        <v>27</v>
      </c>
      <c r="U41" s="304">
        <f t="shared" si="20"/>
        <v>84</v>
      </c>
      <c r="V41" s="306" t="str">
        <f t="shared" si="21"/>
        <v>★</v>
      </c>
      <c r="W41" s="454" t="str">
        <f t="shared" si="22"/>
        <v>已達法定指標，但可申請退休日期應參閱上方【分析結果】</v>
      </c>
      <c r="X41" s="455"/>
      <c r="Y41" s="455"/>
      <c r="Z41" s="456"/>
      <c r="AA41" s="276">
        <f t="shared" si="23"/>
      </c>
      <c r="AB41" s="334" t="str">
        <f t="shared" si="24"/>
        <v>●</v>
      </c>
      <c r="AC41" s="335">
        <f t="shared" si="25"/>
        <v>-0.04</v>
      </c>
      <c r="AD41" s="102"/>
      <c r="AE41" s="118">
        <f t="shared" si="26"/>
        <v>1</v>
      </c>
      <c r="AF41" s="118">
        <f t="shared" si="27"/>
        <v>0</v>
      </c>
      <c r="AG41" s="118">
        <f t="shared" si="28"/>
        <v>0</v>
      </c>
      <c r="AH41" s="118">
        <f>IF(OR(AE41+AF41+AG41&gt;0,SUM($AE$30:AG40)&gt;0),1,0)</f>
        <v>1</v>
      </c>
      <c r="AI41" s="118" t="str">
        <f t="shared" si="29"/>
        <v>符合【年資≧25年&amp;年齡≧50歲】且【年資＋年齡≧當年法定指標數】之擇領全額月退休金條件</v>
      </c>
      <c r="AJ41" s="118">
        <f t="shared" si="30"/>
      </c>
      <c r="AK41" s="118">
        <f t="shared" si="31"/>
      </c>
      <c r="AL41" s="118" t="str">
        <f t="shared" si="32"/>
        <v>符合【年資≧25年&amp;年齡≧50歲】且【年資＋年齡≧當年法定指標數】之擇領全額月退休金條件</v>
      </c>
      <c r="AM41" s="119">
        <f t="shared" si="33"/>
        <v>0</v>
      </c>
      <c r="AN41" s="119">
        <f t="shared" si="34"/>
        <v>0</v>
      </c>
      <c r="AO41" s="119" t="str">
        <f t="shared" si="35"/>
        <v>符合</v>
      </c>
      <c r="AP41" s="119">
        <f t="shared" si="36"/>
        <v>57</v>
      </c>
      <c r="AQ41" s="119">
        <f t="shared" si="37"/>
        <v>20261231</v>
      </c>
      <c r="AR41" s="119" t="str">
        <f t="shared" si="38"/>
        <v>115.1.1~115.12.31</v>
      </c>
      <c r="AS41" s="120">
        <f t="shared" si="39"/>
      </c>
      <c r="AT41" s="121">
        <f t="shared" si="40"/>
      </c>
      <c r="AU41" s="121">
        <f t="shared" si="41"/>
        <v>1</v>
      </c>
      <c r="AV41" s="119">
        <f t="shared" si="42"/>
      </c>
      <c r="AW41" s="122" t="str">
        <f t="shared" si="43"/>
        <v>您將在下方推算結果，達到符合【年資≧25年&amp;年齡≧50歲】且【年資＋年齡≧當年法定指標數】之擇領全額月退休金條件</v>
      </c>
      <c r="AX41" s="31">
        <f t="shared" si="44"/>
        <v>1</v>
      </c>
      <c r="AY41" s="7">
        <f t="shared" si="45"/>
        <v>0</v>
      </c>
      <c r="AZ41" s="123">
        <f t="shared" si="46"/>
        <v>0</v>
      </c>
      <c r="BA41" s="123">
        <f t="shared" si="47"/>
        <v>0.04</v>
      </c>
      <c r="BB41" s="123">
        <f t="shared" si="48"/>
        <v>0.04</v>
      </c>
      <c r="BC41" s="33"/>
      <c r="BD41" s="165">
        <v>11</v>
      </c>
      <c r="BE41" s="166"/>
      <c r="BF41" s="167"/>
      <c r="BG41" s="168"/>
      <c r="BH41" s="169"/>
      <c r="BI41" s="170"/>
      <c r="BJ41" s="171"/>
      <c r="BK41" s="294">
        <f t="shared" si="1"/>
      </c>
      <c r="BL41" s="292">
        <f t="shared" si="2"/>
      </c>
      <c r="BM41" s="295">
        <f t="shared" si="49"/>
      </c>
      <c r="BN41" s="124">
        <f t="shared" si="3"/>
        <v>3987</v>
      </c>
      <c r="BO41" s="125">
        <f t="shared" si="4"/>
        <v>3987</v>
      </c>
      <c r="BP41" s="125"/>
      <c r="BQ41" s="126"/>
      <c r="BR41" s="126"/>
      <c r="BS41" s="126"/>
      <c r="BT41" s="127">
        <v>50</v>
      </c>
      <c r="BU41" s="127"/>
      <c r="BV41" s="127"/>
      <c r="BW41" s="179">
        <f t="shared" si="5"/>
        <v>23</v>
      </c>
      <c r="BX41" s="7">
        <f t="shared" si="50"/>
        <v>9</v>
      </c>
      <c r="BY41" s="20">
        <f t="shared" si="51"/>
        <v>115</v>
      </c>
      <c r="BZ41" s="2" t="str">
        <f t="shared" si="52"/>
        <v>115.2.5</v>
      </c>
      <c r="CA41" s="181">
        <f t="shared" si="53"/>
        <v>2</v>
      </c>
      <c r="CB41" s="2">
        <f t="shared" si="6"/>
        <v>5</v>
      </c>
      <c r="CC41" s="2" t="str">
        <f t="shared" si="54"/>
        <v>115.9.28</v>
      </c>
      <c r="CD41" s="181">
        <f t="shared" si="95"/>
        <v>9</v>
      </c>
      <c r="CE41" s="2">
        <f t="shared" si="96"/>
        <v>28</v>
      </c>
      <c r="CF41" s="2" t="str">
        <f t="shared" si="55"/>
        <v>生日</v>
      </c>
      <c r="CG41" s="2" t="str">
        <f t="shared" si="56"/>
        <v>115.2.5</v>
      </c>
      <c r="CH41" s="2">
        <f t="shared" si="57"/>
        <v>2</v>
      </c>
      <c r="CI41" s="2" t="str">
        <f t="shared" si="58"/>
        <v>初任</v>
      </c>
      <c r="CJ41" s="2" t="str">
        <f t="shared" si="59"/>
        <v>115.9.28</v>
      </c>
      <c r="CK41" s="2">
        <f t="shared" si="60"/>
        <v>9</v>
      </c>
      <c r="CL41" s="2">
        <f t="shared" si="61"/>
        <v>1</v>
      </c>
      <c r="CM41" s="339">
        <f t="shared" si="62"/>
        <v>75</v>
      </c>
      <c r="CN41" s="2">
        <f t="shared" si="63"/>
        <v>0</v>
      </c>
      <c r="CO41" s="2" t="str">
        <f t="shared" si="64"/>
        <v>115.9.28</v>
      </c>
      <c r="CP41" s="2">
        <f t="shared" si="65"/>
        <v>9</v>
      </c>
      <c r="CQ41" s="2">
        <f t="shared" si="66"/>
      </c>
      <c r="CR41" s="339" t="str">
        <f t="shared" si="7"/>
        <v>116.8.1。【說明：原實際條件成就之日期為115.9.28，惟因須配合學期暨受次年度指標數增加或過渡期結束之影響，而必須二次遞延至當學年度結束之次日，始能退休生效，爰推算為116.8.1】</v>
      </c>
      <c r="CS41" s="323" t="str">
        <f t="shared" si="8"/>
        <v>116.8.1。【說明：原實際條件成就之日期為115.9.28，惟因須配合學期暨受次年度指標數增加或過渡期結束之影響，而必須二次遞延至當學年度結束之次日，始能退休生效，爰推算為116.8.1】</v>
      </c>
      <c r="CT41" s="2">
        <f t="shared" si="67"/>
      </c>
      <c r="CU41" s="2">
        <f t="shared" si="68"/>
      </c>
      <c r="CV41" s="128">
        <f t="shared" si="69"/>
      </c>
      <c r="CW41" s="2">
        <f t="shared" si="97"/>
      </c>
      <c r="CX41" s="2">
        <f t="shared" si="70"/>
      </c>
      <c r="CY41" s="128">
        <f t="shared" si="71"/>
      </c>
      <c r="CZ41" s="2">
        <f t="shared" si="72"/>
      </c>
      <c r="DA41" s="2">
        <f t="shared" si="73"/>
      </c>
      <c r="DB41" s="128">
        <f t="shared" si="74"/>
      </c>
      <c r="DC41" s="2">
        <f t="shared" si="75"/>
      </c>
      <c r="DD41" s="2">
        <f t="shared" si="76"/>
      </c>
      <c r="DE41" s="323">
        <f t="shared" si="77"/>
      </c>
      <c r="DF41" s="2"/>
      <c r="DG41" s="2"/>
      <c r="DH41" s="128"/>
      <c r="DI41" s="2">
        <f t="shared" si="78"/>
      </c>
      <c r="DJ41" s="2">
        <f t="shared" si="79"/>
      </c>
      <c r="DK41" s="128">
        <f t="shared" si="80"/>
      </c>
      <c r="DL41" s="128"/>
      <c r="DM41" s="21" t="str">
        <f t="shared" si="81"/>
        <v>116.8.1。【說明：原實際條件成就之日期為115.9.28，惟因須配合學期暨受次年度指標數增加或過渡期結束之影響，而必須二次遞延至當學年度結束之次日，始能退休生效，爰推算為116.8.1】</v>
      </c>
      <c r="DN41" s="2" t="str">
        <f t="shared" si="82"/>
        <v>115.9.28</v>
      </c>
      <c r="DO41" s="2"/>
      <c r="DP41" s="2"/>
      <c r="DQ41" s="2"/>
      <c r="DR41" s="2"/>
      <c r="DS41" s="2"/>
      <c r="DT41" s="2"/>
      <c r="DU41" s="2"/>
      <c r="DV41" s="10"/>
      <c r="DW41" s="2">
        <f t="shared" si="83"/>
        <v>116</v>
      </c>
      <c r="DX41" s="2">
        <f t="shared" si="84"/>
      </c>
      <c r="DY41" s="34"/>
      <c r="DZ41" s="7">
        <f t="shared" si="85"/>
        <v>1</v>
      </c>
      <c r="EA41" s="123">
        <f t="shared" si="86"/>
        <v>0</v>
      </c>
      <c r="EB41" s="211" t="str">
        <f t="shared" si="87"/>
        <v>●</v>
      </c>
      <c r="EC41" s="210" t="str">
        <f t="shared" si="88"/>
        <v>●</v>
      </c>
      <c r="ED41" s="210">
        <f t="shared" si="89"/>
        <v>-0.04</v>
      </c>
      <c r="EE41" s="34">
        <v>6</v>
      </c>
      <c r="EF41" s="183">
        <v>18</v>
      </c>
      <c r="EG41" s="34">
        <v>6</v>
      </c>
      <c r="EH41" s="34"/>
      <c r="EI41" s="118">
        <f t="shared" si="90"/>
        <v>1</v>
      </c>
      <c r="EJ41" s="34"/>
      <c r="EK41" s="313">
        <f t="shared" si="91"/>
        <v>50</v>
      </c>
      <c r="EL41" s="34"/>
      <c r="EM41" s="34"/>
      <c r="EN41" s="30" t="str">
        <f t="shared" si="92"/>
        <v>已達法定指標，但可申請退休日期應參閱上方【分析結果】</v>
      </c>
      <c r="EO41" s="30">
        <f t="shared" si="9"/>
      </c>
      <c r="EP41" s="20" t="str">
        <f t="shared" si="93"/>
        <v>已達法定指標，但可申請退休日期應參閱上方【分析結果】</v>
      </c>
      <c r="EQ41" s="315"/>
    </row>
    <row r="42" spans="1:147" s="29" customFormat="1" ht="15" customHeight="1" thickTop="1">
      <c r="A42" s="143"/>
      <c r="B42" s="214">
        <f t="shared" si="98"/>
        <v>116</v>
      </c>
      <c r="C42" s="26">
        <f t="shared" si="94"/>
        <v>20271231</v>
      </c>
      <c r="D42" s="26" t="str">
        <f t="shared" si="10"/>
        <v>2027</v>
      </c>
      <c r="E42" s="26" t="str">
        <f t="shared" si="11"/>
        <v>12</v>
      </c>
      <c r="F42" s="26" t="str">
        <f t="shared" si="12"/>
        <v>31</v>
      </c>
      <c r="G42" s="300">
        <f t="shared" si="13"/>
        <v>46752</v>
      </c>
      <c r="H42" s="116">
        <f t="shared" si="0"/>
        <v>26</v>
      </c>
      <c r="I42" s="116">
        <f t="shared" si="14"/>
        <v>4</v>
      </c>
      <c r="J42" s="26">
        <f t="shared" si="100"/>
        <v>30</v>
      </c>
      <c r="K42" s="117">
        <f t="shared" si="15"/>
        <v>28</v>
      </c>
      <c r="L42" s="117">
        <f t="shared" si="16"/>
        <v>3</v>
      </c>
      <c r="M42" s="117">
        <f t="shared" si="17"/>
        <v>8</v>
      </c>
      <c r="N42" s="531" t="str">
        <f t="shared" si="99"/>
        <v>116.1.1~116.12.31</v>
      </c>
      <c r="O42" s="532"/>
      <c r="P42" s="532"/>
      <c r="Q42" s="533"/>
      <c r="R42" s="375">
        <v>85</v>
      </c>
      <c r="S42" s="376">
        <f t="shared" si="18"/>
        <v>58</v>
      </c>
      <c r="T42" s="377">
        <f t="shared" si="19"/>
        <v>28</v>
      </c>
      <c r="U42" s="378">
        <f t="shared" si="20"/>
        <v>86</v>
      </c>
      <c r="V42" s="308">
        <f t="shared" si="21"/>
      </c>
      <c r="W42" s="412" t="str">
        <f t="shared" si="22"/>
        <v>本區間內仍符合，但實際退休日期須配合條件成就時間及學期</v>
      </c>
      <c r="X42" s="413"/>
      <c r="Y42" s="413"/>
      <c r="Z42" s="414"/>
      <c r="AA42" s="309">
        <f t="shared" si="23"/>
      </c>
      <c r="AB42" s="336" t="str">
        <f t="shared" si="24"/>
        <v>●</v>
      </c>
      <c r="AC42" s="337" t="str">
        <f t="shared" si="25"/>
        <v>★</v>
      </c>
      <c r="AD42" s="102"/>
      <c r="AE42" s="118">
        <f t="shared" si="26"/>
        <v>1</v>
      </c>
      <c r="AF42" s="118">
        <f t="shared" si="27"/>
        <v>1</v>
      </c>
      <c r="AG42" s="118">
        <f t="shared" si="28"/>
        <v>0</v>
      </c>
      <c r="AH42" s="118">
        <f>IF(OR(AE42+AF42+AG42&gt;0,SUM($AE$30:AG41)&gt;0),1,0)</f>
        <v>1</v>
      </c>
      <c r="AI42" s="118" t="str">
        <f t="shared" si="29"/>
        <v>符合【年資≧25年&amp;年齡≧55歲】且【年資＋年齡≧當年法定指標數】之擇領全額月退休金條件</v>
      </c>
      <c r="AJ42" s="118">
        <f t="shared" si="30"/>
      </c>
      <c r="AK42" s="118">
        <f t="shared" si="31"/>
      </c>
      <c r="AL42" s="118" t="str">
        <f t="shared" si="32"/>
        <v>符合【年資≧25年&amp;年齡≧55歲】且【年資＋年齡≧當年法定指標數】之擇領全額月退休金條件</v>
      </c>
      <c r="AM42" s="119">
        <f t="shared" si="33"/>
        <v>0</v>
      </c>
      <c r="AN42" s="119">
        <f t="shared" si="34"/>
        <v>0</v>
      </c>
      <c r="AO42" s="119" t="str">
        <f t="shared" si="35"/>
        <v>符合</v>
      </c>
      <c r="AP42" s="119">
        <f t="shared" si="36"/>
        <v>58</v>
      </c>
      <c r="AQ42" s="119">
        <f t="shared" si="37"/>
        <v>20271231</v>
      </c>
      <c r="AR42" s="119" t="str">
        <f t="shared" si="38"/>
        <v>116.1.1~116.12.31</v>
      </c>
      <c r="AS42" s="120">
        <f t="shared" si="39"/>
      </c>
      <c r="AT42" s="121">
        <f t="shared" si="40"/>
      </c>
      <c r="AU42" s="121">
        <f t="shared" si="41"/>
        <v>1</v>
      </c>
      <c r="AV42" s="119">
        <f t="shared" si="42"/>
      </c>
      <c r="AW42" s="122">
        <f t="shared" si="43"/>
      </c>
      <c r="AX42" s="31">
        <f t="shared" si="44"/>
        <v>0</v>
      </c>
      <c r="AY42" s="7">
        <f t="shared" si="45"/>
        <v>1</v>
      </c>
      <c r="AZ42" s="123">
        <f t="shared" si="46"/>
        <v>0</v>
      </c>
      <c r="BA42" s="123">
        <f t="shared" si="47"/>
        <v>0</v>
      </c>
      <c r="BB42" s="123" t="str">
        <f t="shared" si="48"/>
        <v>●</v>
      </c>
      <c r="BC42" s="33"/>
      <c r="BD42" s="165">
        <v>12</v>
      </c>
      <c r="BE42" s="166"/>
      <c r="BF42" s="167"/>
      <c r="BG42" s="168"/>
      <c r="BH42" s="169"/>
      <c r="BI42" s="170"/>
      <c r="BJ42" s="171"/>
      <c r="BK42" s="294">
        <f t="shared" si="1"/>
      </c>
      <c r="BL42" s="292">
        <f t="shared" si="2"/>
      </c>
      <c r="BM42" s="295">
        <f t="shared" si="49"/>
      </c>
      <c r="BN42" s="124">
        <f t="shared" si="3"/>
        <v>3987</v>
      </c>
      <c r="BO42" s="125">
        <f t="shared" si="4"/>
        <v>3987</v>
      </c>
      <c r="BP42" s="125"/>
      <c r="BQ42" s="126"/>
      <c r="BR42" s="126"/>
      <c r="BS42" s="126"/>
      <c r="BT42" s="127">
        <v>55</v>
      </c>
      <c r="BU42" s="127"/>
      <c r="BV42" s="127"/>
      <c r="BW42" s="179">
        <f t="shared" si="5"/>
        <v>23</v>
      </c>
      <c r="BX42" s="7">
        <f t="shared" si="50"/>
        <v>9</v>
      </c>
      <c r="BY42" s="20">
        <f t="shared" si="51"/>
        <v>116</v>
      </c>
      <c r="BZ42" s="2" t="str">
        <f t="shared" si="52"/>
        <v>116.2.5</v>
      </c>
      <c r="CA42" s="181">
        <f t="shared" si="53"/>
        <v>2</v>
      </c>
      <c r="CB42" s="2">
        <f t="shared" si="6"/>
        <v>5</v>
      </c>
      <c r="CC42" s="2" t="str">
        <f t="shared" si="54"/>
        <v>116.9.28</v>
      </c>
      <c r="CD42" s="181">
        <f t="shared" si="95"/>
        <v>9</v>
      </c>
      <c r="CE42" s="2">
        <f t="shared" si="96"/>
        <v>28</v>
      </c>
      <c r="CF42" s="2" t="str">
        <f t="shared" si="55"/>
        <v>生日</v>
      </c>
      <c r="CG42" s="2" t="str">
        <f t="shared" si="56"/>
        <v>116.2.5</v>
      </c>
      <c r="CH42" s="2">
        <f t="shared" si="57"/>
        <v>2</v>
      </c>
      <c r="CI42" s="2" t="str">
        <f t="shared" si="58"/>
        <v>初任</v>
      </c>
      <c r="CJ42" s="2" t="str">
        <f t="shared" si="59"/>
        <v>116.9.28</v>
      </c>
      <c r="CK42" s="2">
        <f t="shared" si="60"/>
        <v>9</v>
      </c>
      <c r="CL42" s="2">
        <f t="shared" si="61"/>
        <v>0</v>
      </c>
      <c r="CM42" s="339">
        <f t="shared" si="62"/>
      </c>
      <c r="CN42" s="2">
        <f t="shared" si="63"/>
      </c>
      <c r="CO42" s="2">
        <f t="shared" si="64"/>
      </c>
      <c r="CP42" s="2">
        <f t="shared" si="65"/>
      </c>
      <c r="CQ42" s="2">
        <f t="shared" si="66"/>
      </c>
      <c r="CR42" s="2">
        <f t="shared" si="7"/>
      </c>
      <c r="CS42" s="128">
        <f t="shared" si="8"/>
      </c>
      <c r="CT42" s="2">
        <f t="shared" si="67"/>
      </c>
      <c r="CU42" s="2">
        <f t="shared" si="68"/>
      </c>
      <c r="CV42" s="128">
        <f t="shared" si="69"/>
      </c>
      <c r="CW42" s="2" t="str">
        <f t="shared" si="97"/>
        <v>116.1.1</v>
      </c>
      <c r="CX42" s="2">
        <f t="shared" si="70"/>
        <v>1</v>
      </c>
      <c r="CY42" s="128" t="str">
        <f t="shared" si="71"/>
        <v>116.2.1。【說明：原實際條件成就時間為116.1.1，惟因必須配合學期而延至當學期結束之次日，始能退休生效，爰推算為116.2.1】</v>
      </c>
      <c r="CZ42" s="2">
        <f t="shared" si="72"/>
      </c>
      <c r="DA42" s="2">
        <f t="shared" si="73"/>
      </c>
      <c r="DB42" s="323">
        <f t="shared" si="74"/>
      </c>
      <c r="DC42" s="2">
        <f t="shared" si="75"/>
      </c>
      <c r="DD42" s="2">
        <f t="shared" si="76"/>
      </c>
      <c r="DE42" s="128">
        <f t="shared" si="77"/>
      </c>
      <c r="DF42" s="2"/>
      <c r="DG42" s="2"/>
      <c r="DH42" s="128"/>
      <c r="DI42" s="2">
        <f t="shared" si="78"/>
      </c>
      <c r="DJ42" s="2">
        <f t="shared" si="79"/>
      </c>
      <c r="DK42" s="128">
        <f t="shared" si="80"/>
      </c>
      <c r="DL42" s="128"/>
      <c r="DM42" s="21" t="str">
        <f t="shared" si="81"/>
        <v>116.2.1。【說明：原實際條件成就時間為116.1.1，惟因必須配合學期而延至當學期結束之次日，始能退休生效，爰推算為116.2.1】</v>
      </c>
      <c r="DN42" s="2" t="str">
        <f t="shared" si="82"/>
        <v>116.1.1</v>
      </c>
      <c r="DO42" s="2"/>
      <c r="DP42" s="2"/>
      <c r="DQ42" s="2"/>
      <c r="DR42" s="2"/>
      <c r="DS42" s="2"/>
      <c r="DT42" s="2"/>
      <c r="DU42" s="2"/>
      <c r="DV42" s="10"/>
      <c r="DW42" s="2">
        <f t="shared" si="83"/>
        <v>116</v>
      </c>
      <c r="DX42" s="2">
        <f t="shared" si="84"/>
      </c>
      <c r="DY42" s="34"/>
      <c r="DZ42" s="7">
        <f t="shared" si="85"/>
        <v>1</v>
      </c>
      <c r="EA42" s="123">
        <f t="shared" si="86"/>
        <v>0</v>
      </c>
      <c r="EB42" s="211" t="str">
        <f t="shared" si="87"/>
        <v>●</v>
      </c>
      <c r="EC42" s="210" t="str">
        <f t="shared" si="88"/>
        <v>●</v>
      </c>
      <c r="ED42" s="210" t="e">
        <f t="shared" si="89"/>
        <v>#VALUE!</v>
      </c>
      <c r="EE42" s="34">
        <v>7</v>
      </c>
      <c r="EF42" s="183">
        <v>19</v>
      </c>
      <c r="EG42" s="34">
        <v>7</v>
      </c>
      <c r="EH42" s="34"/>
      <c r="EI42" s="118">
        <f t="shared" si="90"/>
        <v>1</v>
      </c>
      <c r="EJ42" s="34"/>
      <c r="EK42" s="313">
        <f t="shared" si="91"/>
        <v>55</v>
      </c>
      <c r="EL42" s="34"/>
      <c r="EM42" s="34"/>
      <c r="EN42" s="30">
        <f t="shared" si="92"/>
      </c>
      <c r="EO42" s="30" t="str">
        <f t="shared" si="9"/>
        <v>本區間內仍符合，但實際退休日期須配合條件成就時間及學期</v>
      </c>
      <c r="EP42" s="20" t="str">
        <f t="shared" si="93"/>
        <v>本區間內仍符合，但實際退休日期須配合條件成就時間及學期</v>
      </c>
      <c r="EQ42" s="315"/>
    </row>
    <row r="43" spans="1:147" s="29" customFormat="1" ht="15" customHeight="1">
      <c r="A43" s="143"/>
      <c r="B43" s="214">
        <f t="shared" si="98"/>
        <v>117</v>
      </c>
      <c r="C43" s="26">
        <f t="shared" si="94"/>
        <v>20281231</v>
      </c>
      <c r="D43" s="26" t="str">
        <f t="shared" si="10"/>
        <v>2028</v>
      </c>
      <c r="E43" s="26" t="str">
        <f t="shared" si="11"/>
        <v>12</v>
      </c>
      <c r="F43" s="26" t="str">
        <f t="shared" si="12"/>
        <v>31</v>
      </c>
      <c r="G43" s="300">
        <f t="shared" si="13"/>
        <v>47118</v>
      </c>
      <c r="H43" s="116">
        <f t="shared" si="0"/>
        <v>27</v>
      </c>
      <c r="I43" s="116">
        <f t="shared" si="14"/>
        <v>4</v>
      </c>
      <c r="J43" s="26">
        <f t="shared" si="100"/>
        <v>30</v>
      </c>
      <c r="K43" s="117">
        <f t="shared" si="15"/>
        <v>29</v>
      </c>
      <c r="L43" s="117">
        <f t="shared" si="16"/>
        <v>3</v>
      </c>
      <c r="M43" s="117">
        <f t="shared" si="17"/>
        <v>8</v>
      </c>
      <c r="N43" s="534" t="str">
        <f t="shared" si="99"/>
        <v>117.1.1~117.12.31</v>
      </c>
      <c r="O43" s="535"/>
      <c r="P43" s="535"/>
      <c r="Q43" s="536"/>
      <c r="R43" s="282">
        <v>86</v>
      </c>
      <c r="S43" s="379">
        <f t="shared" si="18"/>
        <v>59</v>
      </c>
      <c r="T43" s="380">
        <f t="shared" si="19"/>
        <v>29</v>
      </c>
      <c r="U43" s="381">
        <f t="shared" si="20"/>
        <v>88</v>
      </c>
      <c r="V43" s="148">
        <f t="shared" si="21"/>
      </c>
      <c r="W43" s="401" t="str">
        <f t="shared" si="22"/>
        <v>本區間內仍符合，但實際退休日期須配合條件成就時間及學期</v>
      </c>
      <c r="X43" s="402"/>
      <c r="Y43" s="402"/>
      <c r="Z43" s="403"/>
      <c r="AA43" s="276">
        <f t="shared" si="23"/>
      </c>
      <c r="AB43" s="249">
        <f t="shared" si="24"/>
      </c>
      <c r="AC43" s="330">
        <f t="shared" si="25"/>
      </c>
      <c r="AD43" s="102"/>
      <c r="AE43" s="118">
        <f t="shared" si="26"/>
        <v>1</v>
      </c>
      <c r="AF43" s="118">
        <f t="shared" si="27"/>
        <v>1</v>
      </c>
      <c r="AG43" s="118">
        <f t="shared" si="28"/>
        <v>0</v>
      </c>
      <c r="AH43" s="118">
        <f>IF(OR(AE43+AF43+AG43&gt;0,SUM($AE$30:AG42)&gt;0),1,0)</f>
        <v>1</v>
      </c>
      <c r="AI43" s="118" t="str">
        <f t="shared" si="29"/>
        <v>符合【年資≧25年&amp;年齡≧55歲】且【年資＋年齡≧當年法定指標數】之擇領全額月退休金條件</v>
      </c>
      <c r="AJ43" s="118">
        <f t="shared" si="30"/>
      </c>
      <c r="AK43" s="118">
        <f t="shared" si="31"/>
      </c>
      <c r="AL43" s="118" t="str">
        <f t="shared" si="32"/>
        <v>符合【年資≧25年&amp;年齡≧55歲】且【年資＋年齡≧當年法定指標數】之擇領全額月退休金條件</v>
      </c>
      <c r="AM43" s="119">
        <f t="shared" si="33"/>
        <v>0</v>
      </c>
      <c r="AN43" s="119">
        <f t="shared" si="34"/>
        <v>0</v>
      </c>
      <c r="AO43" s="119" t="str">
        <f t="shared" si="35"/>
        <v>符合</v>
      </c>
      <c r="AP43" s="119">
        <f t="shared" si="36"/>
        <v>59</v>
      </c>
      <c r="AQ43" s="119">
        <f t="shared" si="37"/>
        <v>20281231</v>
      </c>
      <c r="AR43" s="119" t="str">
        <f t="shared" si="38"/>
        <v>117.1.1~117.12.31</v>
      </c>
      <c r="AS43" s="120">
        <f t="shared" si="39"/>
      </c>
      <c r="AT43" s="121">
        <f t="shared" si="40"/>
      </c>
      <c r="AU43" s="121">
        <f t="shared" si="41"/>
        <v>1</v>
      </c>
      <c r="AV43" s="119">
        <f t="shared" si="42"/>
      </c>
      <c r="AW43" s="122">
        <f t="shared" si="43"/>
      </c>
      <c r="AX43" s="31">
        <f t="shared" si="44"/>
        <v>0</v>
      </c>
      <c r="AY43" s="7">
        <f t="shared" si="45"/>
        <v>1</v>
      </c>
      <c r="AZ43" s="123">
        <f t="shared" si="46"/>
        <v>0</v>
      </c>
      <c r="BA43" s="123">
        <f t="shared" si="47"/>
        <v>0</v>
      </c>
      <c r="BB43" s="123">
        <f t="shared" si="48"/>
      </c>
      <c r="BC43" s="33"/>
      <c r="BD43" s="165">
        <v>13</v>
      </c>
      <c r="BE43" s="166"/>
      <c r="BF43" s="167"/>
      <c r="BG43" s="168"/>
      <c r="BH43" s="169"/>
      <c r="BI43" s="170"/>
      <c r="BJ43" s="171"/>
      <c r="BK43" s="294">
        <f t="shared" si="1"/>
      </c>
      <c r="BL43" s="292">
        <f t="shared" si="2"/>
      </c>
      <c r="BM43" s="295">
        <f t="shared" si="49"/>
      </c>
      <c r="BN43" s="124">
        <f t="shared" si="3"/>
        <v>3987</v>
      </c>
      <c r="BO43" s="125">
        <f t="shared" si="4"/>
        <v>3987</v>
      </c>
      <c r="BP43" s="125"/>
      <c r="BQ43" s="126"/>
      <c r="BR43" s="126"/>
      <c r="BS43" s="126"/>
      <c r="BT43" s="127">
        <v>55</v>
      </c>
      <c r="BU43" s="127"/>
      <c r="BV43" s="127"/>
      <c r="BW43" s="179">
        <f t="shared" si="5"/>
        <v>23</v>
      </c>
      <c r="BX43" s="7">
        <f t="shared" si="50"/>
        <v>9</v>
      </c>
      <c r="BY43" s="20">
        <f t="shared" si="51"/>
        <v>117</v>
      </c>
      <c r="BZ43" s="2" t="str">
        <f t="shared" si="52"/>
        <v>117.2.5</v>
      </c>
      <c r="CA43" s="181">
        <f t="shared" si="53"/>
        <v>2</v>
      </c>
      <c r="CB43" s="2">
        <f t="shared" si="6"/>
        <v>5</v>
      </c>
      <c r="CC43" s="2" t="str">
        <f t="shared" si="54"/>
        <v>117.9.28</v>
      </c>
      <c r="CD43" s="181">
        <f t="shared" si="95"/>
        <v>9</v>
      </c>
      <c r="CE43" s="2">
        <f t="shared" si="96"/>
        <v>28</v>
      </c>
      <c r="CF43" s="2" t="str">
        <f t="shared" si="55"/>
        <v>生日</v>
      </c>
      <c r="CG43" s="2" t="str">
        <f t="shared" si="56"/>
        <v>117.2.5</v>
      </c>
      <c r="CH43" s="2">
        <f t="shared" si="57"/>
        <v>2</v>
      </c>
      <c r="CI43" s="2" t="str">
        <f t="shared" si="58"/>
        <v>初任</v>
      </c>
      <c r="CJ43" s="2" t="str">
        <f t="shared" si="59"/>
        <v>117.9.28</v>
      </c>
      <c r="CK43" s="2">
        <f t="shared" si="60"/>
        <v>9</v>
      </c>
      <c r="CL43" s="2">
        <f t="shared" si="61"/>
        <v>0</v>
      </c>
      <c r="CM43" s="339">
        <f t="shared" si="62"/>
      </c>
      <c r="CN43" s="2">
        <f t="shared" si="63"/>
      </c>
      <c r="CO43" s="2">
        <f t="shared" si="64"/>
      </c>
      <c r="CP43" s="2">
        <f t="shared" si="65"/>
      </c>
      <c r="CQ43" s="2">
        <f t="shared" si="66"/>
      </c>
      <c r="CR43" s="2">
        <f t="shared" si="7"/>
      </c>
      <c r="CS43" s="128">
        <f t="shared" si="8"/>
      </c>
      <c r="CT43" s="2">
        <f t="shared" si="67"/>
      </c>
      <c r="CU43" s="2">
        <f t="shared" si="68"/>
      </c>
      <c r="CV43" s="128">
        <f t="shared" si="69"/>
      </c>
      <c r="CW43" s="2" t="str">
        <f t="shared" si="97"/>
        <v>117.1.1</v>
      </c>
      <c r="CX43" s="2">
        <f t="shared" si="70"/>
        <v>1</v>
      </c>
      <c r="CY43" s="128" t="str">
        <f t="shared" si="71"/>
        <v>117.2.1。【說明：原實際條件成就時間為117.1.1，惟因必須配合學期而延至當學期結束之次日，始能退休生效，爰推算為117.2.1】</v>
      </c>
      <c r="CZ43" s="2">
        <f t="shared" si="72"/>
      </c>
      <c r="DA43" s="2">
        <f t="shared" si="73"/>
      </c>
      <c r="DB43" s="128">
        <f t="shared" si="74"/>
      </c>
      <c r="DC43" s="2">
        <f t="shared" si="75"/>
      </c>
      <c r="DD43" s="2">
        <f t="shared" si="76"/>
      </c>
      <c r="DE43" s="128">
        <f t="shared" si="77"/>
      </c>
      <c r="DF43" s="2"/>
      <c r="DG43" s="2"/>
      <c r="DH43" s="128"/>
      <c r="DI43" s="2">
        <f t="shared" si="78"/>
      </c>
      <c r="DJ43" s="2">
        <f t="shared" si="79"/>
      </c>
      <c r="DK43" s="128">
        <f t="shared" si="80"/>
      </c>
      <c r="DL43" s="128"/>
      <c r="DM43" s="21" t="str">
        <f t="shared" si="81"/>
        <v>117.2.1。【說明：原實際條件成就時間為117.1.1，惟因必須配合學期而延至當學期結束之次日，始能退休生效，爰推算為117.2.1】</v>
      </c>
      <c r="DN43" s="2" t="str">
        <f t="shared" si="82"/>
        <v>117.1.1</v>
      </c>
      <c r="DO43" s="2"/>
      <c r="DP43" s="2"/>
      <c r="DQ43" s="2"/>
      <c r="DR43" s="2"/>
      <c r="DS43" s="2"/>
      <c r="DT43" s="2"/>
      <c r="DU43" s="2"/>
      <c r="DV43" s="10"/>
      <c r="DW43" s="2">
        <f t="shared" si="83"/>
        <v>117</v>
      </c>
      <c r="DX43" s="2">
        <f t="shared" si="84"/>
      </c>
      <c r="DY43" s="34"/>
      <c r="DZ43" s="7">
        <f t="shared" si="85"/>
        <v>1</v>
      </c>
      <c r="EA43" s="123">
        <f t="shared" si="86"/>
        <v>0</v>
      </c>
      <c r="EB43" s="211" t="str">
        <f t="shared" si="87"/>
        <v>●</v>
      </c>
      <c r="EC43" s="210" t="str">
        <f t="shared" si="88"/>
        <v>●</v>
      </c>
      <c r="ED43" s="210" t="e">
        <f t="shared" si="89"/>
        <v>#VALUE!</v>
      </c>
      <c r="EE43" s="34"/>
      <c r="EF43" s="34"/>
      <c r="EG43" s="34"/>
      <c r="EH43" s="34"/>
      <c r="EI43" s="118">
        <f t="shared" si="90"/>
        <v>1</v>
      </c>
      <c r="EJ43" s="34"/>
      <c r="EK43" s="313">
        <f t="shared" si="91"/>
        <v>55</v>
      </c>
      <c r="EL43" s="34"/>
      <c r="EM43" s="34"/>
      <c r="EN43" s="30">
        <f t="shared" si="92"/>
      </c>
      <c r="EO43" s="30" t="str">
        <f t="shared" si="9"/>
        <v>本區間內仍符合，但實際退休日期須配合條件成就時間及學期</v>
      </c>
      <c r="EP43" s="20" t="str">
        <f t="shared" si="93"/>
        <v>本區間內仍符合，但實際退休日期須配合條件成就時間及學期</v>
      </c>
      <c r="EQ43" s="315"/>
    </row>
    <row r="44" spans="1:147" s="29" customFormat="1" ht="15" customHeight="1" thickBot="1">
      <c r="A44" s="143"/>
      <c r="B44" s="214">
        <f t="shared" si="98"/>
        <v>118</v>
      </c>
      <c r="C44" s="26">
        <f t="shared" si="94"/>
        <v>20291231</v>
      </c>
      <c r="D44" s="26" t="str">
        <f t="shared" si="10"/>
        <v>2029</v>
      </c>
      <c r="E44" s="26" t="str">
        <f t="shared" si="11"/>
        <v>12</v>
      </c>
      <c r="F44" s="26" t="str">
        <f t="shared" si="12"/>
        <v>31</v>
      </c>
      <c r="G44" s="300">
        <f t="shared" si="13"/>
        <v>47483</v>
      </c>
      <c r="H44" s="116">
        <f t="shared" si="0"/>
        <v>28</v>
      </c>
      <c r="I44" s="116">
        <f t="shared" si="14"/>
        <v>4</v>
      </c>
      <c r="J44" s="26">
        <f t="shared" si="100"/>
        <v>30</v>
      </c>
      <c r="K44" s="117">
        <f t="shared" si="15"/>
        <v>30</v>
      </c>
      <c r="L44" s="117">
        <f t="shared" si="16"/>
        <v>3</v>
      </c>
      <c r="M44" s="117">
        <f t="shared" si="17"/>
        <v>8</v>
      </c>
      <c r="N44" s="534" t="str">
        <f t="shared" si="99"/>
        <v>118.1.1~118.12.31</v>
      </c>
      <c r="O44" s="535"/>
      <c r="P44" s="535"/>
      <c r="Q44" s="536"/>
      <c r="R44" s="282">
        <v>87</v>
      </c>
      <c r="S44" s="379">
        <f t="shared" si="18"/>
        <v>60</v>
      </c>
      <c r="T44" s="380">
        <f t="shared" si="19"/>
        <v>30</v>
      </c>
      <c r="U44" s="381">
        <f t="shared" si="20"/>
        <v>90</v>
      </c>
      <c r="V44" s="148">
        <f t="shared" si="21"/>
      </c>
      <c r="W44" s="401" t="str">
        <f t="shared" si="22"/>
        <v>本區間內仍符合，但實際退休日期須配合條件成就時間及學期</v>
      </c>
      <c r="X44" s="402"/>
      <c r="Y44" s="402"/>
      <c r="Z44" s="403"/>
      <c r="AA44" s="276">
        <f t="shared" si="23"/>
      </c>
      <c r="AB44" s="249">
        <f t="shared" si="24"/>
      </c>
      <c r="AC44" s="330">
        <f t="shared" si="25"/>
      </c>
      <c r="AD44" s="102"/>
      <c r="AE44" s="118">
        <f t="shared" si="26"/>
        <v>1</v>
      </c>
      <c r="AF44" s="118">
        <f t="shared" si="27"/>
        <v>1</v>
      </c>
      <c r="AG44" s="118">
        <f t="shared" si="28"/>
        <v>0</v>
      </c>
      <c r="AH44" s="118">
        <f>IF(OR(AE44+AF44+AG44&gt;0,SUM($AE$30:AG43)&gt;0),1,0)</f>
        <v>1</v>
      </c>
      <c r="AI44" s="118" t="str">
        <f t="shared" si="29"/>
        <v>符合【年資≧25年&amp;年齡≧55歲】且【年資＋年齡≧當年法定指標數】之擇領全額月退休金條件</v>
      </c>
      <c r="AJ44" s="118">
        <f t="shared" si="30"/>
      </c>
      <c r="AK44" s="118">
        <f t="shared" si="31"/>
      </c>
      <c r="AL44" s="118" t="str">
        <f t="shared" si="32"/>
        <v>符合【年資≧25年&amp;年齡≧55歲】且【年資＋年齡≧當年法定指標數】之擇領全額月退休金條件</v>
      </c>
      <c r="AM44" s="119">
        <f t="shared" si="33"/>
        <v>0</v>
      </c>
      <c r="AN44" s="119">
        <f t="shared" si="34"/>
        <v>0</v>
      </c>
      <c r="AO44" s="119" t="str">
        <f t="shared" si="35"/>
        <v>符合</v>
      </c>
      <c r="AP44" s="119">
        <f t="shared" si="36"/>
        <v>60</v>
      </c>
      <c r="AQ44" s="119">
        <f t="shared" si="37"/>
        <v>20291231</v>
      </c>
      <c r="AR44" s="119" t="str">
        <f t="shared" si="38"/>
        <v>118.1.1~118.12.31</v>
      </c>
      <c r="AS44" s="120">
        <f t="shared" si="39"/>
      </c>
      <c r="AT44" s="121">
        <f t="shared" si="40"/>
      </c>
      <c r="AU44" s="121">
        <f t="shared" si="41"/>
        <v>1</v>
      </c>
      <c r="AV44" s="119">
        <f t="shared" si="42"/>
      </c>
      <c r="AW44" s="122">
        <f t="shared" si="43"/>
      </c>
      <c r="AX44" s="31">
        <f t="shared" si="44"/>
        <v>0</v>
      </c>
      <c r="AY44" s="7">
        <f t="shared" si="45"/>
        <v>1</v>
      </c>
      <c r="AZ44" s="123">
        <f t="shared" si="46"/>
        <v>0</v>
      </c>
      <c r="BA44" s="123">
        <f t="shared" si="47"/>
        <v>0</v>
      </c>
      <c r="BB44" s="123">
        <f t="shared" si="48"/>
      </c>
      <c r="BC44" s="33"/>
      <c r="BD44" s="172">
        <v>14</v>
      </c>
      <c r="BE44" s="173"/>
      <c r="BF44" s="174"/>
      <c r="BG44" s="175"/>
      <c r="BH44" s="176"/>
      <c r="BI44" s="177"/>
      <c r="BJ44" s="178"/>
      <c r="BK44" s="296">
        <f t="shared" si="1"/>
      </c>
      <c r="BL44" s="297">
        <f t="shared" si="2"/>
      </c>
      <c r="BM44" s="298">
        <f t="shared" si="49"/>
      </c>
      <c r="BN44" s="124">
        <f t="shared" si="3"/>
        <v>3987</v>
      </c>
      <c r="BO44" s="125">
        <f t="shared" si="4"/>
        <v>3987</v>
      </c>
      <c r="BP44" s="125"/>
      <c r="BQ44" s="126"/>
      <c r="BR44" s="126"/>
      <c r="BS44" s="126"/>
      <c r="BT44" s="127">
        <v>55</v>
      </c>
      <c r="BU44" s="127"/>
      <c r="BV44" s="127"/>
      <c r="BW44" s="179">
        <f>IF($U$9+$U$10+$W$9+$W$10=0,$W$8,IF(AND($U$9-$U$10=0,$W$9-$W$10=0),$W$8,IF(M44=0,1,IF(AND(MOD(D44,4)=0,CD44=2),29-M44+1,IF(AND(MOD(D44,4)&gt;0,CD44=2),28-M44+1,IF(OR(CD44=4,CD44=6,CD44=9,CD44=11),30-M44+1,31-M44+1))))))</f>
        <v>23</v>
      </c>
      <c r="BX44" s="7">
        <f t="shared" si="50"/>
        <v>9</v>
      </c>
      <c r="BY44" s="20">
        <f t="shared" si="51"/>
        <v>118</v>
      </c>
      <c r="BZ44" s="2" t="str">
        <f t="shared" si="52"/>
        <v>118.2.5</v>
      </c>
      <c r="CA44" s="181">
        <f t="shared" si="53"/>
        <v>2</v>
      </c>
      <c r="CB44" s="2">
        <f t="shared" si="6"/>
        <v>5</v>
      </c>
      <c r="CC44" s="2" t="str">
        <f t="shared" si="54"/>
        <v>118.9.28</v>
      </c>
      <c r="CD44" s="181">
        <f t="shared" si="95"/>
        <v>9</v>
      </c>
      <c r="CE44" s="2">
        <f t="shared" si="96"/>
        <v>28</v>
      </c>
      <c r="CF44" s="2" t="str">
        <f t="shared" si="55"/>
        <v>生日</v>
      </c>
      <c r="CG44" s="2" t="str">
        <f t="shared" si="56"/>
        <v>118.2.5</v>
      </c>
      <c r="CH44" s="2">
        <f t="shared" si="57"/>
        <v>2</v>
      </c>
      <c r="CI44" s="2" t="str">
        <f t="shared" si="58"/>
        <v>初任</v>
      </c>
      <c r="CJ44" s="2" t="str">
        <f t="shared" si="59"/>
        <v>118.9.28</v>
      </c>
      <c r="CK44" s="2">
        <f t="shared" si="60"/>
        <v>9</v>
      </c>
      <c r="CL44" s="2">
        <f t="shared" si="61"/>
        <v>0</v>
      </c>
      <c r="CM44" s="339">
        <f t="shared" si="62"/>
      </c>
      <c r="CN44" s="2">
        <f t="shared" si="63"/>
      </c>
      <c r="CO44" s="2">
        <f t="shared" si="64"/>
      </c>
      <c r="CP44" s="2">
        <f t="shared" si="65"/>
      </c>
      <c r="CQ44" s="2">
        <f t="shared" si="66"/>
      </c>
      <c r="CR44" s="2">
        <f t="shared" si="7"/>
      </c>
      <c r="CS44" s="128">
        <f t="shared" si="8"/>
      </c>
      <c r="CT44" s="2">
        <f t="shared" si="67"/>
      </c>
      <c r="CU44" s="2">
        <f t="shared" si="68"/>
      </c>
      <c r="CV44" s="128">
        <f t="shared" si="69"/>
      </c>
      <c r="CW44" s="2" t="str">
        <f t="shared" si="97"/>
        <v>118.1.1</v>
      </c>
      <c r="CX44" s="2">
        <f t="shared" si="70"/>
        <v>1</v>
      </c>
      <c r="CY44" s="128" t="str">
        <f t="shared" si="71"/>
        <v>118.2.1。【說明：原實際條件成就時間為118.1.1，惟因必須配合學期而延至當學期結束之次日，始能退休生效，爰推算為118.2.1】</v>
      </c>
      <c r="CZ44" s="2">
        <f t="shared" si="72"/>
      </c>
      <c r="DA44" s="2">
        <f t="shared" si="73"/>
      </c>
      <c r="DB44" s="128">
        <f t="shared" si="74"/>
      </c>
      <c r="DC44" s="2">
        <f t="shared" si="75"/>
      </c>
      <c r="DD44" s="2">
        <f t="shared" si="76"/>
      </c>
      <c r="DE44" s="128">
        <f t="shared" si="77"/>
      </c>
      <c r="DF44" s="2"/>
      <c r="DG44" s="2"/>
      <c r="DH44" s="128"/>
      <c r="DI44" s="2">
        <f t="shared" si="78"/>
      </c>
      <c r="DJ44" s="2">
        <f t="shared" si="79"/>
      </c>
      <c r="DK44" s="128">
        <f t="shared" si="80"/>
      </c>
      <c r="DL44" s="128"/>
      <c r="DM44" s="21" t="str">
        <f t="shared" si="81"/>
        <v>118.2.1。【說明：原實際條件成就時間為118.1.1，惟因必須配合學期而延至當學期結束之次日，始能退休生效，爰推算為118.2.1】</v>
      </c>
      <c r="DN44" s="2" t="str">
        <f t="shared" si="82"/>
        <v>118.1.1</v>
      </c>
      <c r="DO44" s="2"/>
      <c r="DP44" s="2"/>
      <c r="DQ44" s="2"/>
      <c r="DR44" s="2"/>
      <c r="DS44" s="2"/>
      <c r="DT44" s="2"/>
      <c r="DU44" s="2"/>
      <c r="DV44" s="10"/>
      <c r="DW44" s="2">
        <f t="shared" si="83"/>
        <v>118</v>
      </c>
      <c r="DX44" s="2">
        <f t="shared" si="84"/>
      </c>
      <c r="DY44" s="34"/>
      <c r="DZ44" s="7">
        <f t="shared" si="85"/>
        <v>1</v>
      </c>
      <c r="EA44" s="123">
        <f t="shared" si="86"/>
        <v>0</v>
      </c>
      <c r="EB44" s="211" t="str">
        <f t="shared" si="87"/>
        <v>●</v>
      </c>
      <c r="EC44" s="210" t="str">
        <f t="shared" si="88"/>
        <v>●</v>
      </c>
      <c r="ED44" s="210" t="e">
        <f t="shared" si="89"/>
        <v>#VALUE!</v>
      </c>
      <c r="EE44" s="34"/>
      <c r="EF44" s="34"/>
      <c r="EG44" s="34"/>
      <c r="EH44" s="34"/>
      <c r="EI44" s="118">
        <f t="shared" si="90"/>
        <v>1</v>
      </c>
      <c r="EJ44" s="34"/>
      <c r="EK44" s="313">
        <f t="shared" si="91"/>
        <v>55</v>
      </c>
      <c r="EL44" s="34"/>
      <c r="EM44" s="34"/>
      <c r="EN44" s="30">
        <f t="shared" si="92"/>
      </c>
      <c r="EO44" s="30" t="str">
        <f t="shared" si="9"/>
        <v>本區間內仍符合，但實際退休日期須配合條件成就時間及學期</v>
      </c>
      <c r="EP44" s="20" t="str">
        <f t="shared" si="93"/>
        <v>本區間內仍符合，但實際退休日期須配合條件成就時間及學期</v>
      </c>
      <c r="EQ44" s="315"/>
    </row>
    <row r="45" spans="1:147" s="29" customFormat="1" ht="15" customHeight="1" thickTop="1">
      <c r="A45" s="143"/>
      <c r="B45" s="214">
        <f t="shared" si="98"/>
        <v>119</v>
      </c>
      <c r="C45" s="26">
        <f t="shared" si="94"/>
        <v>20301231</v>
      </c>
      <c r="D45" s="26" t="str">
        <f t="shared" si="10"/>
        <v>2030</v>
      </c>
      <c r="E45" s="26" t="str">
        <f t="shared" si="11"/>
        <v>12</v>
      </c>
      <c r="F45" s="26" t="str">
        <f t="shared" si="12"/>
        <v>31</v>
      </c>
      <c r="G45" s="300">
        <f t="shared" si="13"/>
        <v>47848</v>
      </c>
      <c r="H45" s="116">
        <f t="shared" si="0"/>
        <v>29</v>
      </c>
      <c r="I45" s="116">
        <f t="shared" si="14"/>
        <v>4</v>
      </c>
      <c r="J45" s="26">
        <f t="shared" si="100"/>
        <v>30</v>
      </c>
      <c r="K45" s="117">
        <f t="shared" si="15"/>
        <v>31</v>
      </c>
      <c r="L45" s="117">
        <f t="shared" si="16"/>
        <v>3</v>
      </c>
      <c r="M45" s="117">
        <f t="shared" si="17"/>
        <v>8</v>
      </c>
      <c r="N45" s="534" t="str">
        <f t="shared" si="99"/>
        <v>119.1.1~119.12.31</v>
      </c>
      <c r="O45" s="535"/>
      <c r="P45" s="535"/>
      <c r="Q45" s="536"/>
      <c r="R45" s="282">
        <v>88</v>
      </c>
      <c r="S45" s="379">
        <f t="shared" si="18"/>
        <v>61</v>
      </c>
      <c r="T45" s="380">
        <f t="shared" si="19"/>
        <v>31</v>
      </c>
      <c r="U45" s="381">
        <f t="shared" si="20"/>
        <v>92</v>
      </c>
      <c r="V45" s="148">
        <f t="shared" si="21"/>
      </c>
      <c r="W45" s="401" t="str">
        <f t="shared" si="22"/>
        <v>本區間內仍符合，但實際退休日期須配合條件成就時間及學期</v>
      </c>
      <c r="X45" s="402"/>
      <c r="Y45" s="402"/>
      <c r="Z45" s="403"/>
      <c r="AA45" s="276">
        <f t="shared" si="23"/>
      </c>
      <c r="AB45" s="249">
        <f t="shared" si="24"/>
      </c>
      <c r="AC45" s="330">
        <f t="shared" si="25"/>
      </c>
      <c r="AD45" s="102"/>
      <c r="AE45" s="118">
        <f t="shared" si="26"/>
        <v>1</v>
      </c>
      <c r="AF45" s="118">
        <f t="shared" si="27"/>
        <v>1</v>
      </c>
      <c r="AG45" s="118">
        <f t="shared" si="28"/>
        <v>0</v>
      </c>
      <c r="AH45" s="118">
        <f>IF(OR(AE45+AF45+AG45&gt;0,SUM($AE$30:AG44)&gt;0),1,0)</f>
        <v>1</v>
      </c>
      <c r="AI45" s="118" t="str">
        <f t="shared" si="29"/>
        <v>符合【年資≧25年&amp;年齡≧55歲】且【年資＋年齡≧當年法定指標數】之擇領全額月退休金條件</v>
      </c>
      <c r="AJ45" s="118">
        <f t="shared" si="30"/>
      </c>
      <c r="AK45" s="118">
        <f t="shared" si="31"/>
      </c>
      <c r="AL45" s="118" t="str">
        <f t="shared" si="32"/>
        <v>符合【年資≧25年&amp;年齡≧55歲】且【年資＋年齡≧當年法定指標數】之擇領全額月退休金條件</v>
      </c>
      <c r="AM45" s="119">
        <f t="shared" si="33"/>
        <v>0</v>
      </c>
      <c r="AN45" s="119">
        <f t="shared" si="34"/>
        <v>0</v>
      </c>
      <c r="AO45" s="119" t="str">
        <f t="shared" si="35"/>
        <v>符合</v>
      </c>
      <c r="AP45" s="119">
        <f t="shared" si="36"/>
        <v>61</v>
      </c>
      <c r="AQ45" s="119">
        <f t="shared" si="37"/>
        <v>20301231</v>
      </c>
      <c r="AR45" s="119" t="str">
        <f t="shared" si="38"/>
        <v>119.1.1~119.12.31</v>
      </c>
      <c r="AS45" s="120">
        <f t="shared" si="39"/>
      </c>
      <c r="AT45" s="121">
        <f t="shared" si="40"/>
      </c>
      <c r="AU45" s="121">
        <f t="shared" si="41"/>
        <v>1</v>
      </c>
      <c r="AV45" s="119">
        <f t="shared" si="42"/>
      </c>
      <c r="AW45" s="122">
        <f t="shared" si="43"/>
      </c>
      <c r="AX45" s="31">
        <f t="shared" si="44"/>
        <v>0</v>
      </c>
      <c r="AY45" s="7">
        <f t="shared" si="45"/>
        <v>1</v>
      </c>
      <c r="AZ45" s="123">
        <f t="shared" si="46"/>
        <v>0</v>
      </c>
      <c r="BA45" s="123">
        <f t="shared" si="47"/>
        <v>0</v>
      </c>
      <c r="BB45" s="123">
        <f t="shared" si="48"/>
      </c>
      <c r="BC45" s="33"/>
      <c r="BD45" s="33"/>
      <c r="BE45" s="33"/>
      <c r="BF45" s="33"/>
      <c r="BG45" s="30"/>
      <c r="BH45" s="30"/>
      <c r="BI45" s="30"/>
      <c r="BJ45" s="30"/>
      <c r="BK45" s="30"/>
      <c r="BL45" s="30"/>
      <c r="BM45" s="30"/>
      <c r="BN45" s="124"/>
      <c r="BO45" s="125"/>
      <c r="BP45" s="125"/>
      <c r="BQ45" s="126"/>
      <c r="BR45" s="126"/>
      <c r="BS45" s="126"/>
      <c r="BT45" s="127">
        <v>55</v>
      </c>
      <c r="BU45" s="127"/>
      <c r="BV45" s="127"/>
      <c r="BW45" s="179">
        <f>IF($U$9+$U$10+$W$9+$W$10=0,$W$8,IF(AND($U$9-$U$10=0,$W$9-$W$10=0),$W$8,IF(M45=0,1,IF(AND(MOD(D45,4)=0,CD45=2),29-M45+1,IF(AND(MOD(D45,4)&gt;0,CD45=2),28-M45+1,IF(OR(CD45=4,CD45=6,CD45=9,CD45=11),30-M45+1,31-M45+1))))))</f>
        <v>23</v>
      </c>
      <c r="BX45" s="7">
        <f t="shared" si="50"/>
        <v>9</v>
      </c>
      <c r="BY45" s="20">
        <f t="shared" si="51"/>
        <v>119</v>
      </c>
      <c r="BZ45" s="2" t="str">
        <f t="shared" si="52"/>
        <v>119.2.5</v>
      </c>
      <c r="CA45" s="181">
        <f t="shared" si="53"/>
        <v>2</v>
      </c>
      <c r="CB45" s="2">
        <f t="shared" si="6"/>
        <v>5</v>
      </c>
      <c r="CC45" s="2" t="str">
        <f t="shared" si="54"/>
        <v>119.9.28</v>
      </c>
      <c r="CD45" s="181">
        <f t="shared" si="95"/>
        <v>9</v>
      </c>
      <c r="CE45" s="2">
        <f t="shared" si="96"/>
        <v>28</v>
      </c>
      <c r="CF45" s="2" t="str">
        <f t="shared" si="55"/>
        <v>生日</v>
      </c>
      <c r="CG45" s="2" t="str">
        <f t="shared" si="56"/>
        <v>119.2.5</v>
      </c>
      <c r="CH45" s="2">
        <f t="shared" si="57"/>
        <v>2</v>
      </c>
      <c r="CI45" s="2" t="str">
        <f t="shared" si="58"/>
        <v>初任</v>
      </c>
      <c r="CJ45" s="2" t="str">
        <f t="shared" si="59"/>
        <v>119.9.28</v>
      </c>
      <c r="CK45" s="2">
        <f t="shared" si="60"/>
        <v>9</v>
      </c>
      <c r="CL45" s="2">
        <f t="shared" si="61"/>
        <v>0</v>
      </c>
      <c r="CM45" s="339">
        <f t="shared" si="62"/>
      </c>
      <c r="CN45" s="2">
        <f t="shared" si="63"/>
      </c>
      <c r="CO45" s="2">
        <f t="shared" si="64"/>
      </c>
      <c r="CP45" s="2">
        <f t="shared" si="65"/>
      </c>
      <c r="CQ45" s="2">
        <f t="shared" si="66"/>
      </c>
      <c r="CR45" s="2">
        <f t="shared" si="7"/>
      </c>
      <c r="CS45" s="128">
        <f t="shared" si="8"/>
      </c>
      <c r="CT45" s="2">
        <f t="shared" si="67"/>
      </c>
      <c r="CU45" s="2">
        <f t="shared" si="68"/>
      </c>
      <c r="CV45" s="128">
        <f t="shared" si="69"/>
      </c>
      <c r="CW45" s="2" t="str">
        <f t="shared" si="97"/>
        <v>119.1.1</v>
      </c>
      <c r="CX45" s="2">
        <f t="shared" si="70"/>
        <v>1</v>
      </c>
      <c r="CY45" s="128" t="str">
        <f t="shared" si="71"/>
        <v>119.2.1。【說明：原實際條件成就時間為119.1.1，惟因必須配合學期而延至當學期結束之次日，始能退休生效，爰推算為119.2.1】</v>
      </c>
      <c r="CZ45" s="2">
        <f t="shared" si="72"/>
      </c>
      <c r="DA45" s="2">
        <f t="shared" si="73"/>
      </c>
      <c r="DB45" s="128">
        <f t="shared" si="74"/>
      </c>
      <c r="DC45" s="2">
        <f t="shared" si="75"/>
      </c>
      <c r="DD45" s="2">
        <f t="shared" si="76"/>
      </c>
      <c r="DE45" s="128">
        <f t="shared" si="77"/>
      </c>
      <c r="DF45" s="2"/>
      <c r="DG45" s="2"/>
      <c r="DH45" s="128"/>
      <c r="DI45" s="2">
        <f t="shared" si="78"/>
      </c>
      <c r="DJ45" s="2">
        <f t="shared" si="79"/>
      </c>
      <c r="DK45" s="128">
        <f t="shared" si="80"/>
      </c>
      <c r="DL45" s="128"/>
      <c r="DM45" s="21" t="str">
        <f t="shared" si="81"/>
        <v>119.2.1。【說明：原實際條件成就時間為119.1.1，惟因必須配合學期而延至當學期結束之次日，始能退休生效，爰推算為119.2.1】</v>
      </c>
      <c r="DN45" s="2" t="str">
        <f t="shared" si="82"/>
        <v>119.1.1</v>
      </c>
      <c r="DO45" s="2"/>
      <c r="DP45" s="2"/>
      <c r="DQ45" s="2"/>
      <c r="DR45" s="2"/>
      <c r="DS45" s="2"/>
      <c r="DT45" s="2"/>
      <c r="DU45" s="2"/>
      <c r="DV45" s="10"/>
      <c r="DW45" s="2">
        <f t="shared" si="83"/>
        <v>119</v>
      </c>
      <c r="DX45" s="2">
        <f t="shared" si="84"/>
      </c>
      <c r="DY45" s="34"/>
      <c r="DZ45" s="7">
        <f t="shared" si="85"/>
        <v>1</v>
      </c>
      <c r="EA45" s="123">
        <f t="shared" si="86"/>
        <v>0</v>
      </c>
      <c r="EB45" s="211">
        <f t="shared" si="87"/>
      </c>
      <c r="EC45" s="210">
        <f t="shared" si="88"/>
      </c>
      <c r="ED45" s="210" t="e">
        <f t="shared" si="89"/>
        <v>#VALUE!</v>
      </c>
      <c r="EE45" s="34"/>
      <c r="EF45" s="34"/>
      <c r="EG45" s="34"/>
      <c r="EH45" s="34"/>
      <c r="EI45" s="118">
        <f t="shared" si="90"/>
        <v>1</v>
      </c>
      <c r="EJ45" s="34"/>
      <c r="EK45" s="313">
        <f t="shared" si="91"/>
        <v>55</v>
      </c>
      <c r="EL45" s="34"/>
      <c r="EM45" s="34"/>
      <c r="EN45" s="30">
        <f t="shared" si="92"/>
      </c>
      <c r="EO45" s="30" t="str">
        <f t="shared" si="9"/>
        <v>本區間內仍符合，但實際退休日期須配合條件成就時間及學期</v>
      </c>
      <c r="EP45" s="20" t="str">
        <f t="shared" si="93"/>
        <v>本區間內仍符合，但實際退休日期須配合條件成就時間及學期</v>
      </c>
      <c r="EQ45" s="315"/>
    </row>
    <row r="46" spans="1:147" s="29" customFormat="1" ht="15" customHeight="1">
      <c r="A46" s="143"/>
      <c r="B46" s="214">
        <f t="shared" si="98"/>
        <v>120</v>
      </c>
      <c r="C46" s="26">
        <f t="shared" si="94"/>
        <v>20311231</v>
      </c>
      <c r="D46" s="26" t="str">
        <f t="shared" si="10"/>
        <v>2031</v>
      </c>
      <c r="E46" s="26" t="str">
        <f t="shared" si="11"/>
        <v>12</v>
      </c>
      <c r="F46" s="26" t="str">
        <f t="shared" si="12"/>
        <v>31</v>
      </c>
      <c r="G46" s="300">
        <f t="shared" si="13"/>
        <v>48213</v>
      </c>
      <c r="H46" s="116">
        <f t="shared" si="0"/>
        <v>30</v>
      </c>
      <c r="I46" s="116">
        <f t="shared" si="14"/>
        <v>4</v>
      </c>
      <c r="J46" s="26">
        <f t="shared" si="100"/>
        <v>30</v>
      </c>
      <c r="K46" s="117">
        <f t="shared" si="15"/>
        <v>32</v>
      </c>
      <c r="L46" s="117">
        <f t="shared" si="16"/>
        <v>3</v>
      </c>
      <c r="M46" s="117">
        <f t="shared" si="17"/>
        <v>8</v>
      </c>
      <c r="N46" s="534" t="str">
        <f t="shared" si="99"/>
        <v>120.1.1~120.12.31</v>
      </c>
      <c r="O46" s="535"/>
      <c r="P46" s="535"/>
      <c r="Q46" s="536"/>
      <c r="R46" s="282">
        <v>89</v>
      </c>
      <c r="S46" s="379">
        <f t="shared" si="18"/>
        <v>62</v>
      </c>
      <c r="T46" s="380">
        <f t="shared" si="19"/>
        <v>32</v>
      </c>
      <c r="U46" s="381">
        <f t="shared" si="20"/>
        <v>94</v>
      </c>
      <c r="V46" s="148">
        <f t="shared" si="21"/>
      </c>
      <c r="W46" s="401" t="str">
        <f t="shared" si="22"/>
        <v>本區間內仍符合，但實際退休日期須配合條件成就時間及學期</v>
      </c>
      <c r="X46" s="402"/>
      <c r="Y46" s="402"/>
      <c r="Z46" s="403"/>
      <c r="AA46" s="276">
        <f t="shared" si="23"/>
      </c>
      <c r="AB46" s="249">
        <f t="shared" si="24"/>
      </c>
      <c r="AC46" s="330">
        <f t="shared" si="25"/>
      </c>
      <c r="AD46" s="102"/>
      <c r="AE46" s="118">
        <f t="shared" si="26"/>
        <v>1</v>
      </c>
      <c r="AF46" s="118">
        <f t="shared" si="27"/>
        <v>1</v>
      </c>
      <c r="AG46" s="118">
        <f t="shared" si="28"/>
        <v>0</v>
      </c>
      <c r="AH46" s="118">
        <f>IF(OR(AE46+AF46+AG46&gt;0,SUM($AE$30:AG45)&gt;0),1,0)</f>
        <v>1</v>
      </c>
      <c r="AI46" s="118" t="str">
        <f t="shared" si="29"/>
        <v>符合【年資≧25年&amp;年齡≧55歲】且【年資＋年齡≧當年法定指標數】之擇領全額月退休金條件</v>
      </c>
      <c r="AJ46" s="118">
        <f t="shared" si="30"/>
      </c>
      <c r="AK46" s="118">
        <f t="shared" si="31"/>
      </c>
      <c r="AL46" s="118" t="str">
        <f t="shared" si="32"/>
        <v>符合【年資≧25年&amp;年齡≧55歲】且【年資＋年齡≧當年法定指標數】之擇領全額月退休金條件</v>
      </c>
      <c r="AM46" s="119">
        <f t="shared" si="33"/>
        <v>0</v>
      </c>
      <c r="AN46" s="119">
        <f t="shared" si="34"/>
        <v>0</v>
      </c>
      <c r="AO46" s="119" t="str">
        <f t="shared" si="35"/>
        <v>符合</v>
      </c>
      <c r="AP46" s="119">
        <f t="shared" si="36"/>
        <v>62</v>
      </c>
      <c r="AQ46" s="119">
        <f t="shared" si="37"/>
        <v>20311231</v>
      </c>
      <c r="AR46" s="119" t="str">
        <f t="shared" si="38"/>
        <v>120.1.1~120.12.31</v>
      </c>
      <c r="AS46" s="120">
        <f t="shared" si="39"/>
      </c>
      <c r="AT46" s="121">
        <f t="shared" si="40"/>
      </c>
      <c r="AU46" s="121">
        <f t="shared" si="41"/>
        <v>1</v>
      </c>
      <c r="AV46" s="119">
        <f t="shared" si="42"/>
      </c>
      <c r="AW46" s="122">
        <f t="shared" si="43"/>
      </c>
      <c r="AX46" s="31">
        <f t="shared" si="44"/>
        <v>0</v>
      </c>
      <c r="AY46" s="7">
        <f t="shared" si="45"/>
        <v>1</v>
      </c>
      <c r="AZ46" s="123">
        <f t="shared" si="46"/>
        <v>0</v>
      </c>
      <c r="BA46" s="123">
        <f t="shared" si="47"/>
        <v>0</v>
      </c>
      <c r="BB46" s="123">
        <f t="shared" si="48"/>
      </c>
      <c r="BC46" s="33"/>
      <c r="BD46" s="33"/>
      <c r="BE46" s="33"/>
      <c r="BF46" s="33"/>
      <c r="BG46" s="30"/>
      <c r="BH46" s="30"/>
      <c r="BI46" s="30"/>
      <c r="BJ46" s="30"/>
      <c r="BK46" s="30"/>
      <c r="BL46" s="30"/>
      <c r="BM46" s="30"/>
      <c r="BN46" s="124"/>
      <c r="BO46" s="125"/>
      <c r="BP46" s="125"/>
      <c r="BQ46" s="126"/>
      <c r="BR46" s="126"/>
      <c r="BS46" s="126"/>
      <c r="BT46" s="127">
        <v>55</v>
      </c>
      <c r="BU46" s="127"/>
      <c r="BV46" s="127"/>
      <c r="BW46" s="179">
        <f aca="true" t="shared" si="101" ref="BW46:BW95">IF($U$9+$U$10+$W$9+$W$10=0,$W$8,IF(AND($U$9-$U$10=0,$W$9-$W$10=0),$W$8,IF(M46=0,1,IF(AND(MOD(D46,4)=0,CD46=2),29-M46+1,IF(AND(MOD(D46,4)&gt;0,CD46=2),28-M46+1,IF(OR(CD46=4,CD46=6,CD46=9,CD46=11),30-M46+1,31-M46+1))))))</f>
        <v>23</v>
      </c>
      <c r="BX46" s="7">
        <f aca="true" t="shared" si="102" ref="BX46:BX95">IF($S$9+$S$10+$U$9+$U$10+$W$9+$W$10=0,$CD$9,IF(AND(L46=0,M46=0),1,IF(AND(L46&gt;0,M46=0),12-L46+1,12-L46)))</f>
        <v>9</v>
      </c>
      <c r="BY46" s="20">
        <f t="shared" si="51"/>
        <v>120</v>
      </c>
      <c r="BZ46" s="2" t="str">
        <f t="shared" si="52"/>
        <v>120.2.5</v>
      </c>
      <c r="CA46" s="181">
        <f t="shared" si="53"/>
        <v>2</v>
      </c>
      <c r="CB46" s="2">
        <f aca="true" t="shared" si="103" ref="CB46:CB95">$W$7</f>
        <v>5</v>
      </c>
      <c r="CC46" s="2" t="str">
        <f t="shared" si="54"/>
        <v>120.9.28</v>
      </c>
      <c r="CD46" s="181">
        <f t="shared" si="95"/>
        <v>9</v>
      </c>
      <c r="CE46" s="2">
        <f t="shared" si="96"/>
        <v>28</v>
      </c>
      <c r="CF46" s="2" t="str">
        <f aca="true" t="shared" si="104" ref="CF46:CF95">IF(CA46&gt;CD46,"初任",IF(CA46&lt;CD46,"生日",IF(CB46&gt;CE46,"初任","生日")))</f>
        <v>生日</v>
      </c>
      <c r="CG46" s="2" t="str">
        <f aca="true" t="shared" si="105" ref="CG46:CG95">IF(CA46&gt;CD46,CC46,IF(CA46&lt;CD46,BZ46,IF(CB46&gt;CE46,CC46,BZ46)))</f>
        <v>120.2.5</v>
      </c>
      <c r="CH46" s="2">
        <f aca="true" t="shared" si="106" ref="CH46:CH95">IF(CF46="生日",CA46,CD46)</f>
        <v>2</v>
      </c>
      <c r="CI46" s="2" t="str">
        <f aca="true" t="shared" si="107" ref="CI46:CI95">IF(CA46&gt;CD46,"生日",IF(CA46&lt;CD46,"初任",IF(CB46&gt;CE46,"生日","初任")))</f>
        <v>初任</v>
      </c>
      <c r="CJ46" s="2" t="str">
        <f aca="true" t="shared" si="108" ref="CJ46:CJ95">IF(BZ46=CG46,CC46,BZ46)</f>
        <v>120.9.28</v>
      </c>
      <c r="CK46" s="2">
        <f aca="true" t="shared" si="109" ref="CK46:CK95">IF(CI46="生日",CA46,CD46)</f>
        <v>9</v>
      </c>
      <c r="CL46" s="2">
        <f aca="true" t="shared" si="110" ref="CL46:CL95">IF(AW46="",0,1)</f>
        <v>0</v>
      </c>
      <c r="CM46" s="339">
        <f t="shared" si="62"/>
      </c>
      <c r="CN46" s="2">
        <f t="shared" si="63"/>
      </c>
      <c r="CO46" s="2">
        <f t="shared" si="64"/>
      </c>
      <c r="CP46" s="2">
        <f t="shared" si="65"/>
      </c>
      <c r="CQ46" s="2">
        <f t="shared" si="66"/>
      </c>
      <c r="CR46" s="2">
        <f t="shared" si="7"/>
      </c>
      <c r="CS46" s="128">
        <f t="shared" si="8"/>
      </c>
      <c r="CT46" s="2">
        <f t="shared" si="67"/>
      </c>
      <c r="CU46" s="2">
        <f t="shared" si="68"/>
      </c>
      <c r="CV46" s="128">
        <f t="shared" si="69"/>
      </c>
      <c r="CW46" s="2" t="str">
        <f t="shared" si="97"/>
        <v>120.1.1</v>
      </c>
      <c r="CX46" s="2">
        <f t="shared" si="70"/>
        <v>1</v>
      </c>
      <c r="CY46" s="128" t="str">
        <f t="shared" si="71"/>
        <v>120.2.1。【說明：原實際條件成就時間為120.1.1，惟因必須配合學期而延至當學期結束之次日，始能退休生效，爰推算為120.2.1】</v>
      </c>
      <c r="CZ46" s="2">
        <f t="shared" si="72"/>
      </c>
      <c r="DA46" s="2">
        <f t="shared" si="73"/>
      </c>
      <c r="DB46" s="128">
        <f t="shared" si="74"/>
      </c>
      <c r="DC46" s="2">
        <f t="shared" si="75"/>
      </c>
      <c r="DD46" s="2">
        <f t="shared" si="76"/>
      </c>
      <c r="DE46" s="128">
        <f t="shared" si="77"/>
      </c>
      <c r="DF46" s="2"/>
      <c r="DG46" s="2"/>
      <c r="DH46" s="128"/>
      <c r="DI46" s="2">
        <f t="shared" si="78"/>
      </c>
      <c r="DJ46" s="2">
        <f t="shared" si="79"/>
      </c>
      <c r="DK46" s="128">
        <f t="shared" si="80"/>
      </c>
      <c r="DL46" s="128"/>
      <c r="DM46" s="21" t="str">
        <f t="shared" si="81"/>
        <v>120.2.1。【說明：原實際條件成就時間為120.1.1，惟因必須配合學期而延至當學期結束之次日，始能退休生效，爰推算為120.2.1】</v>
      </c>
      <c r="DN46" s="2" t="str">
        <f t="shared" si="82"/>
        <v>120.1.1</v>
      </c>
      <c r="DO46" s="2"/>
      <c r="DP46" s="2"/>
      <c r="DQ46" s="2"/>
      <c r="DR46" s="2"/>
      <c r="DS46" s="2"/>
      <c r="DT46" s="2"/>
      <c r="DU46" s="2"/>
      <c r="DV46" s="10"/>
      <c r="DW46" s="2">
        <f t="shared" si="83"/>
        <v>120</v>
      </c>
      <c r="DX46" s="2">
        <f t="shared" si="84"/>
      </c>
      <c r="DY46" s="34"/>
      <c r="DZ46" s="7">
        <f t="shared" si="85"/>
        <v>1</v>
      </c>
      <c r="EA46" s="123">
        <f t="shared" si="86"/>
        <v>0</v>
      </c>
      <c r="EB46" s="211">
        <f t="shared" si="87"/>
      </c>
      <c r="EC46" s="210">
        <f t="shared" si="88"/>
      </c>
      <c r="ED46" s="210" t="e">
        <f t="shared" si="89"/>
        <v>#VALUE!</v>
      </c>
      <c r="EE46" s="34"/>
      <c r="EF46" s="34"/>
      <c r="EG46" s="34"/>
      <c r="EH46" s="34"/>
      <c r="EI46" s="118">
        <f t="shared" si="90"/>
        <v>1</v>
      </c>
      <c r="EJ46" s="34"/>
      <c r="EK46" s="313">
        <f t="shared" si="91"/>
        <v>55</v>
      </c>
      <c r="EL46" s="34"/>
      <c r="EM46" s="34"/>
      <c r="EN46" s="30">
        <f t="shared" si="92"/>
      </c>
      <c r="EO46" s="30" t="str">
        <f t="shared" si="9"/>
        <v>本區間內仍符合，但實際退休日期須配合條件成就時間及學期</v>
      </c>
      <c r="EP46" s="20" t="str">
        <f t="shared" si="93"/>
        <v>本區間內仍符合，但實際退休日期須配合條件成就時間及學期</v>
      </c>
      <c r="EQ46" s="315"/>
    </row>
    <row r="47" spans="1:147" s="29" customFormat="1" ht="15" customHeight="1" thickBot="1">
      <c r="A47" s="143"/>
      <c r="B47" s="214">
        <f t="shared" si="98"/>
        <v>121</v>
      </c>
      <c r="C47" s="26">
        <f t="shared" si="94"/>
        <v>20321231</v>
      </c>
      <c r="D47" s="26" t="str">
        <f t="shared" si="10"/>
        <v>2032</v>
      </c>
      <c r="E47" s="26" t="str">
        <f t="shared" si="11"/>
        <v>12</v>
      </c>
      <c r="F47" s="26" t="str">
        <f t="shared" si="12"/>
        <v>31</v>
      </c>
      <c r="G47" s="300">
        <f t="shared" si="13"/>
        <v>48579</v>
      </c>
      <c r="H47" s="116">
        <f t="shared" si="0"/>
        <v>31</v>
      </c>
      <c r="I47" s="116">
        <f t="shared" si="14"/>
        <v>4</v>
      </c>
      <c r="J47" s="26">
        <f t="shared" si="100"/>
        <v>30</v>
      </c>
      <c r="K47" s="117">
        <f t="shared" si="15"/>
        <v>33</v>
      </c>
      <c r="L47" s="117">
        <f t="shared" si="16"/>
        <v>3</v>
      </c>
      <c r="M47" s="117">
        <f t="shared" si="17"/>
        <v>8</v>
      </c>
      <c r="N47" s="565" t="str">
        <f t="shared" si="99"/>
        <v>121.1.1~121.12.31</v>
      </c>
      <c r="O47" s="566"/>
      <c r="P47" s="566"/>
      <c r="Q47" s="567"/>
      <c r="R47" s="382">
        <v>90</v>
      </c>
      <c r="S47" s="383">
        <f t="shared" si="18"/>
        <v>63</v>
      </c>
      <c r="T47" s="384">
        <f t="shared" si="19"/>
        <v>33</v>
      </c>
      <c r="U47" s="385">
        <f t="shared" si="20"/>
        <v>96</v>
      </c>
      <c r="V47" s="310">
        <f t="shared" si="21"/>
      </c>
      <c r="W47" s="439" t="str">
        <f t="shared" si="22"/>
        <v>本區間內仍符合，但實際退休日期須配合條件成就時間及學期</v>
      </c>
      <c r="X47" s="440"/>
      <c r="Y47" s="440"/>
      <c r="Z47" s="441"/>
      <c r="AA47" s="311">
        <f t="shared" si="23"/>
      </c>
      <c r="AB47" s="312">
        <f t="shared" si="24"/>
      </c>
      <c r="AC47" s="331">
        <f t="shared" si="25"/>
      </c>
      <c r="AD47" s="102"/>
      <c r="AE47" s="118">
        <f t="shared" si="26"/>
        <v>1</v>
      </c>
      <c r="AF47" s="118">
        <f t="shared" si="27"/>
        <v>1</v>
      </c>
      <c r="AG47" s="118">
        <f t="shared" si="28"/>
        <v>0</v>
      </c>
      <c r="AH47" s="118">
        <f>IF(OR(AE47+AF47+AG47&gt;0,SUM($AE$30:AG46)&gt;0),1,0)</f>
        <v>1</v>
      </c>
      <c r="AI47" s="118" t="str">
        <f t="shared" si="29"/>
        <v>符合【年資≧25年&amp;年齡≧55歲】且【年資＋年齡≧當年法定指標數】之擇領全額月退休金條件</v>
      </c>
      <c r="AJ47" s="118">
        <f t="shared" si="30"/>
      </c>
      <c r="AK47" s="118">
        <f t="shared" si="31"/>
      </c>
      <c r="AL47" s="118" t="str">
        <f t="shared" si="32"/>
        <v>符合【年資≧25年&amp;年齡≧55歲】且【年資＋年齡≧當年法定指標數】之擇領全額月退休金條件</v>
      </c>
      <c r="AM47" s="119">
        <f t="shared" si="33"/>
        <v>0</v>
      </c>
      <c r="AN47" s="119">
        <f t="shared" si="34"/>
        <v>0</v>
      </c>
      <c r="AO47" s="119" t="str">
        <f t="shared" si="35"/>
        <v>符合</v>
      </c>
      <c r="AP47" s="119">
        <f t="shared" si="36"/>
        <v>63</v>
      </c>
      <c r="AQ47" s="119">
        <f t="shared" si="37"/>
        <v>20321231</v>
      </c>
      <c r="AR47" s="119" t="str">
        <f t="shared" si="38"/>
        <v>121.1.1~121.12.31</v>
      </c>
      <c r="AS47" s="120">
        <f t="shared" si="39"/>
      </c>
      <c r="AT47" s="121">
        <f t="shared" si="40"/>
      </c>
      <c r="AU47" s="121">
        <f t="shared" si="41"/>
        <v>1</v>
      </c>
      <c r="AV47" s="119">
        <f t="shared" si="42"/>
      </c>
      <c r="AW47" s="122">
        <f t="shared" si="43"/>
      </c>
      <c r="AX47" s="31">
        <f t="shared" si="44"/>
        <v>0</v>
      </c>
      <c r="AY47" s="7">
        <f t="shared" si="45"/>
        <v>1</v>
      </c>
      <c r="AZ47" s="123">
        <f t="shared" si="46"/>
        <v>0</v>
      </c>
      <c r="BA47" s="123">
        <f t="shared" si="47"/>
        <v>0</v>
      </c>
      <c r="BB47" s="123">
        <f t="shared" si="48"/>
      </c>
      <c r="BC47" s="33"/>
      <c r="BD47" s="33"/>
      <c r="BE47" s="33"/>
      <c r="BF47" s="33"/>
      <c r="BG47" s="30"/>
      <c r="BH47" s="30"/>
      <c r="BI47" s="30"/>
      <c r="BJ47" s="30"/>
      <c r="BK47" s="30"/>
      <c r="BL47" s="30"/>
      <c r="BM47" s="30"/>
      <c r="BN47" s="124"/>
      <c r="BO47" s="125"/>
      <c r="BP47" s="125"/>
      <c r="BQ47" s="126"/>
      <c r="BR47" s="126"/>
      <c r="BS47" s="126"/>
      <c r="BT47" s="127">
        <v>55</v>
      </c>
      <c r="BU47" s="127"/>
      <c r="BV47" s="127"/>
      <c r="BW47" s="179">
        <f t="shared" si="101"/>
        <v>23</v>
      </c>
      <c r="BX47" s="7">
        <f t="shared" si="102"/>
        <v>9</v>
      </c>
      <c r="BY47" s="20">
        <f t="shared" si="51"/>
        <v>121</v>
      </c>
      <c r="BZ47" s="2" t="str">
        <f t="shared" si="52"/>
        <v>121.2.5</v>
      </c>
      <c r="CA47" s="181">
        <f t="shared" si="53"/>
        <v>2</v>
      </c>
      <c r="CB47" s="2">
        <f t="shared" si="103"/>
        <v>5</v>
      </c>
      <c r="CC47" s="2" t="str">
        <f t="shared" si="54"/>
        <v>121.9.28</v>
      </c>
      <c r="CD47" s="181">
        <f t="shared" si="95"/>
        <v>9</v>
      </c>
      <c r="CE47" s="2">
        <f t="shared" si="96"/>
        <v>28</v>
      </c>
      <c r="CF47" s="2" t="str">
        <f t="shared" si="104"/>
        <v>生日</v>
      </c>
      <c r="CG47" s="2" t="str">
        <f t="shared" si="105"/>
        <v>121.2.5</v>
      </c>
      <c r="CH47" s="2">
        <f t="shared" si="106"/>
        <v>2</v>
      </c>
      <c r="CI47" s="2" t="str">
        <f t="shared" si="107"/>
        <v>初任</v>
      </c>
      <c r="CJ47" s="2" t="str">
        <f t="shared" si="108"/>
        <v>121.9.28</v>
      </c>
      <c r="CK47" s="2">
        <f t="shared" si="109"/>
        <v>9</v>
      </c>
      <c r="CL47" s="2">
        <f t="shared" si="110"/>
        <v>0</v>
      </c>
      <c r="CM47" s="339">
        <f t="shared" si="62"/>
      </c>
      <c r="CN47" s="2">
        <f t="shared" si="63"/>
      </c>
      <c r="CO47" s="2">
        <f t="shared" si="64"/>
      </c>
      <c r="CP47" s="2">
        <f t="shared" si="65"/>
      </c>
      <c r="CQ47" s="2">
        <f t="shared" si="66"/>
      </c>
      <c r="CR47" s="2">
        <f t="shared" si="7"/>
      </c>
      <c r="CS47" s="128">
        <f t="shared" si="8"/>
      </c>
      <c r="CT47" s="2">
        <f t="shared" si="67"/>
      </c>
      <c r="CU47" s="2">
        <f t="shared" si="68"/>
      </c>
      <c r="CV47" s="128">
        <f t="shared" si="69"/>
      </c>
      <c r="CW47" s="2" t="str">
        <f t="shared" si="97"/>
        <v>121.1.1</v>
      </c>
      <c r="CX47" s="2">
        <f t="shared" si="70"/>
        <v>1</v>
      </c>
      <c r="CY47" s="128" t="str">
        <f t="shared" si="71"/>
        <v>121.2.1。【說明：原實際條件成就時間為121.1.1，惟因必須配合學期而延至當學期結束之次日，始能退休生效，爰推算為121.2.1】</v>
      </c>
      <c r="CZ47" s="2">
        <f t="shared" si="72"/>
      </c>
      <c r="DA47" s="2">
        <f t="shared" si="73"/>
      </c>
      <c r="DB47" s="128">
        <f t="shared" si="74"/>
      </c>
      <c r="DC47" s="2">
        <f t="shared" si="75"/>
      </c>
      <c r="DD47" s="2">
        <f t="shared" si="76"/>
      </c>
      <c r="DE47" s="128">
        <f t="shared" si="77"/>
      </c>
      <c r="DF47" s="2"/>
      <c r="DG47" s="2"/>
      <c r="DH47" s="128"/>
      <c r="DI47" s="2">
        <f t="shared" si="78"/>
      </c>
      <c r="DJ47" s="2">
        <f t="shared" si="79"/>
      </c>
      <c r="DK47" s="128">
        <f t="shared" si="80"/>
      </c>
      <c r="DL47" s="128"/>
      <c r="DM47" s="21" t="str">
        <f t="shared" si="81"/>
        <v>121.2.1。【說明：原實際條件成就時間為121.1.1，惟因必須配合學期而延至當學期結束之次日，始能退休生效，爰推算為121.2.1】</v>
      </c>
      <c r="DN47" s="2" t="str">
        <f t="shared" si="82"/>
        <v>121.1.1</v>
      </c>
      <c r="DO47" s="2"/>
      <c r="DP47" s="2"/>
      <c r="DQ47" s="2"/>
      <c r="DR47" s="2"/>
      <c r="DS47" s="2"/>
      <c r="DT47" s="2"/>
      <c r="DU47" s="2"/>
      <c r="DV47" s="10"/>
      <c r="DW47" s="2">
        <f t="shared" si="83"/>
        <v>121</v>
      </c>
      <c r="DX47" s="2">
        <f t="shared" si="84"/>
      </c>
      <c r="DY47" s="34"/>
      <c r="DZ47" s="7">
        <f t="shared" si="85"/>
        <v>1</v>
      </c>
      <c r="EA47" s="123">
        <f t="shared" si="86"/>
        <v>0</v>
      </c>
      <c r="EB47" s="211">
        <f t="shared" si="87"/>
      </c>
      <c r="EC47" s="210">
        <f t="shared" si="88"/>
      </c>
      <c r="ED47" s="210" t="e">
        <f t="shared" si="89"/>
        <v>#VALUE!</v>
      </c>
      <c r="EE47" s="34"/>
      <c r="EF47" s="34"/>
      <c r="EG47" s="34"/>
      <c r="EH47" s="34"/>
      <c r="EI47" s="118">
        <f t="shared" si="90"/>
        <v>1</v>
      </c>
      <c r="EJ47" s="34"/>
      <c r="EK47" s="313">
        <f t="shared" si="91"/>
        <v>55</v>
      </c>
      <c r="EL47" s="34"/>
      <c r="EM47" s="34"/>
      <c r="EN47" s="30">
        <f t="shared" si="92"/>
      </c>
      <c r="EO47" s="30" t="str">
        <f t="shared" si="9"/>
        <v>本區間內仍符合，但實際退休日期須配合條件成就時間及學期</v>
      </c>
      <c r="EP47" s="20" t="str">
        <f t="shared" si="93"/>
        <v>本區間內仍符合，但實際退休日期須配合條件成就時間及學期</v>
      </c>
      <c r="EQ47" s="315"/>
    </row>
    <row r="48" spans="1:147" s="29" customFormat="1" ht="15" customHeight="1">
      <c r="A48" s="143"/>
      <c r="B48" s="149">
        <f t="shared" si="98"/>
        <v>122</v>
      </c>
      <c r="C48" s="26">
        <f t="shared" si="94"/>
        <v>20331231</v>
      </c>
      <c r="D48" s="26" t="str">
        <f t="shared" si="10"/>
        <v>2033</v>
      </c>
      <c r="E48" s="26" t="str">
        <f t="shared" si="11"/>
        <v>12</v>
      </c>
      <c r="F48" s="26" t="str">
        <f t="shared" si="12"/>
        <v>31</v>
      </c>
      <c r="G48" s="300">
        <f t="shared" si="13"/>
        <v>48944</v>
      </c>
      <c r="H48" s="116">
        <f t="shared" si="0"/>
        <v>32</v>
      </c>
      <c r="I48" s="116">
        <f t="shared" si="14"/>
        <v>4</v>
      </c>
      <c r="J48" s="26">
        <f t="shared" si="100"/>
        <v>30</v>
      </c>
      <c r="K48" s="117">
        <f t="shared" si="15"/>
        <v>34</v>
      </c>
      <c r="L48" s="117">
        <f t="shared" si="16"/>
        <v>3</v>
      </c>
      <c r="M48" s="117">
        <f t="shared" si="17"/>
        <v>8</v>
      </c>
      <c r="N48" s="568" t="str">
        <f t="shared" si="99"/>
        <v>122.1.1~122.12.31</v>
      </c>
      <c r="O48" s="569"/>
      <c r="P48" s="569"/>
      <c r="Q48" s="570"/>
      <c r="R48" s="386"/>
      <c r="S48" s="387">
        <f t="shared" si="18"/>
        <v>64</v>
      </c>
      <c r="T48" s="388">
        <f t="shared" si="19"/>
        <v>34</v>
      </c>
      <c r="U48" s="389">
        <f t="shared" si="20"/>
        <v>98</v>
      </c>
      <c r="V48" s="148">
        <f t="shared" si="21"/>
      </c>
      <c r="W48" s="430" t="str">
        <f t="shared" si="22"/>
        <v>本區間內仍符合，但實際退休日期須配合條件成就時間及學期</v>
      </c>
      <c r="X48" s="402"/>
      <c r="Y48" s="402"/>
      <c r="Z48" s="431"/>
      <c r="AA48" s="276">
        <f t="shared" si="23"/>
      </c>
      <c r="AB48" s="307">
        <f t="shared" si="24"/>
      </c>
      <c r="AC48" s="202">
        <f t="shared" si="25"/>
      </c>
      <c r="AD48" s="102"/>
      <c r="AE48" s="118">
        <f t="shared" si="26"/>
        <v>0</v>
      </c>
      <c r="AF48" s="118">
        <f t="shared" si="27"/>
        <v>1</v>
      </c>
      <c r="AG48" s="118">
        <f t="shared" si="28"/>
        <v>0</v>
      </c>
      <c r="AH48" s="118">
        <f>IF(OR(AE48+AF48+AG48&gt;0,SUM($AE$30:AG47)&gt;0),1,0)</f>
        <v>1</v>
      </c>
      <c r="AI48" s="118">
        <f t="shared" si="29"/>
      </c>
      <c r="AJ48" s="118" t="str">
        <f t="shared" si="30"/>
        <v>符合「年齡滿58歲、年資滿25年」或「年齡滿60歲、年資滿15年」之擇領月退休金條件</v>
      </c>
      <c r="AK48" s="118">
        <f t="shared" si="31"/>
      </c>
      <c r="AL48" s="118" t="str">
        <f t="shared" si="32"/>
        <v>符合「年齡滿58歲、年資滿25年」或「年齡滿60歲、年資滿15年」之擇領月退休金條件</v>
      </c>
      <c r="AM48" s="119">
        <f t="shared" si="33"/>
        <v>0</v>
      </c>
      <c r="AN48" s="119">
        <f t="shared" si="34"/>
        <v>0</v>
      </c>
      <c r="AO48" s="119" t="str">
        <f t="shared" si="35"/>
        <v>符合</v>
      </c>
      <c r="AP48" s="119">
        <f t="shared" si="36"/>
        <v>64</v>
      </c>
      <c r="AQ48" s="119">
        <f t="shared" si="37"/>
        <v>20331231</v>
      </c>
      <c r="AR48" s="119" t="str">
        <f t="shared" si="38"/>
        <v>122.1.1~122.12.31</v>
      </c>
      <c r="AS48" s="120">
        <f t="shared" si="39"/>
      </c>
      <c r="AT48" s="121">
        <f t="shared" si="40"/>
      </c>
      <c r="AU48" s="121">
        <f t="shared" si="41"/>
        <v>1</v>
      </c>
      <c r="AV48" s="119">
        <f t="shared" si="42"/>
      </c>
      <c r="AW48" s="122">
        <f t="shared" si="43"/>
      </c>
      <c r="AX48" s="31">
        <f t="shared" si="44"/>
        <v>0</v>
      </c>
      <c r="AY48" s="7">
        <f t="shared" si="45"/>
        <v>1</v>
      </c>
      <c r="AZ48" s="123">
        <f t="shared" si="46"/>
        <v>0</v>
      </c>
      <c r="BA48" s="123">
        <f t="shared" si="47"/>
        <v>0</v>
      </c>
      <c r="BB48" s="123">
        <f t="shared" si="48"/>
      </c>
      <c r="BC48" s="33"/>
      <c r="BD48" s="33"/>
      <c r="BE48" s="33"/>
      <c r="BF48" s="33"/>
      <c r="BG48" s="30"/>
      <c r="BH48" s="30"/>
      <c r="BI48" s="30"/>
      <c r="BJ48" s="30"/>
      <c r="BK48" s="30"/>
      <c r="BL48" s="30"/>
      <c r="BM48" s="30"/>
      <c r="BN48" s="124"/>
      <c r="BO48" s="125"/>
      <c r="BP48" s="125"/>
      <c r="BQ48" s="126"/>
      <c r="BR48" s="126"/>
      <c r="BS48" s="126"/>
      <c r="BT48" s="127">
        <v>58</v>
      </c>
      <c r="BU48" s="127"/>
      <c r="BV48" s="127"/>
      <c r="BW48" s="179">
        <f t="shared" si="101"/>
        <v>23</v>
      </c>
      <c r="BX48" s="7">
        <f t="shared" si="102"/>
        <v>9</v>
      </c>
      <c r="BY48" s="20">
        <f t="shared" si="51"/>
        <v>122</v>
      </c>
      <c r="BZ48" s="2" t="str">
        <f t="shared" si="52"/>
        <v>122.2.5</v>
      </c>
      <c r="CA48" s="181">
        <f t="shared" si="53"/>
        <v>2</v>
      </c>
      <c r="CB48" s="2">
        <f t="shared" si="103"/>
        <v>5</v>
      </c>
      <c r="CC48" s="2" t="str">
        <f t="shared" si="54"/>
        <v>122.9.28</v>
      </c>
      <c r="CD48" s="181">
        <f t="shared" si="95"/>
        <v>9</v>
      </c>
      <c r="CE48" s="2">
        <f t="shared" si="96"/>
        <v>28</v>
      </c>
      <c r="CF48" s="2" t="str">
        <f t="shared" si="104"/>
        <v>生日</v>
      </c>
      <c r="CG48" s="2" t="str">
        <f t="shared" si="105"/>
        <v>122.2.5</v>
      </c>
      <c r="CH48" s="2">
        <f t="shared" si="106"/>
        <v>2</v>
      </c>
      <c r="CI48" s="2" t="str">
        <f t="shared" si="107"/>
        <v>初任</v>
      </c>
      <c r="CJ48" s="2" t="str">
        <f t="shared" si="108"/>
        <v>122.9.28</v>
      </c>
      <c r="CK48" s="2">
        <f t="shared" si="109"/>
        <v>9</v>
      </c>
      <c r="CL48" s="2">
        <f t="shared" si="110"/>
        <v>0</v>
      </c>
      <c r="CM48" s="339">
        <f t="shared" si="62"/>
      </c>
      <c r="CN48" s="2">
        <f t="shared" si="63"/>
      </c>
      <c r="CO48" s="2">
        <f t="shared" si="64"/>
      </c>
      <c r="CP48" s="2">
        <f t="shared" si="65"/>
      </c>
      <c r="CQ48" s="2">
        <f t="shared" si="66"/>
      </c>
      <c r="CR48" s="2">
        <f t="shared" si="7"/>
      </c>
      <c r="CS48" s="128">
        <f t="shared" si="8"/>
      </c>
      <c r="CT48" s="2">
        <f t="shared" si="67"/>
      </c>
      <c r="CU48" s="2">
        <f t="shared" si="68"/>
      </c>
      <c r="CV48" s="128">
        <f t="shared" si="69"/>
      </c>
      <c r="CW48" s="2" t="str">
        <f t="shared" si="97"/>
        <v>122.1.1</v>
      </c>
      <c r="CX48" s="2">
        <f t="shared" si="70"/>
        <v>1</v>
      </c>
      <c r="CY48" s="128" t="str">
        <f t="shared" si="71"/>
        <v>122.2.1。【說明：原實際條件成就時間為122.1.1，惟因必須配合學期而延至當學期結束之次日，始能退休生效，爰推算為122.2.1】</v>
      </c>
      <c r="CZ48" s="2">
        <f t="shared" si="72"/>
      </c>
      <c r="DA48" s="2">
        <f t="shared" si="73"/>
      </c>
      <c r="DB48" s="128">
        <f t="shared" si="74"/>
      </c>
      <c r="DC48" s="2">
        <f t="shared" si="75"/>
      </c>
      <c r="DD48" s="2">
        <f t="shared" si="76"/>
      </c>
      <c r="DE48" s="128">
        <f t="shared" si="77"/>
      </c>
      <c r="DF48" s="2"/>
      <c r="DG48" s="2"/>
      <c r="DH48" s="128"/>
      <c r="DI48" s="2">
        <f t="shared" si="78"/>
      </c>
      <c r="DJ48" s="2">
        <f t="shared" si="79"/>
      </c>
      <c r="DK48" s="128">
        <f t="shared" si="80"/>
      </c>
      <c r="DL48" s="128"/>
      <c r="DM48" s="21" t="str">
        <f t="shared" si="81"/>
        <v>122.2.1。【說明：原實際條件成就時間為122.1.1，惟因必須配合學期而延至當學期結束之次日，始能退休生效，爰推算為122.2.1】</v>
      </c>
      <c r="DN48" s="2" t="str">
        <f t="shared" si="82"/>
        <v>122.1.1</v>
      </c>
      <c r="DO48" s="2"/>
      <c r="DP48" s="2"/>
      <c r="DQ48" s="2"/>
      <c r="DR48" s="2"/>
      <c r="DS48" s="2"/>
      <c r="DT48" s="2"/>
      <c r="DU48" s="2"/>
      <c r="DV48" s="10"/>
      <c r="DW48" s="2">
        <f t="shared" si="83"/>
        <v>122</v>
      </c>
      <c r="DX48" s="2">
        <f t="shared" si="84"/>
      </c>
      <c r="DY48" s="34"/>
      <c r="DZ48" s="7">
        <f t="shared" si="85"/>
        <v>1</v>
      </c>
      <c r="EA48" s="123">
        <f t="shared" si="86"/>
        <v>0</v>
      </c>
      <c r="EB48" s="211">
        <f t="shared" si="87"/>
      </c>
      <c r="EC48" s="210">
        <f t="shared" si="88"/>
      </c>
      <c r="ED48" s="210" t="e">
        <f t="shared" si="89"/>
        <v>#VALUE!</v>
      </c>
      <c r="EE48" s="34"/>
      <c r="EF48" s="34"/>
      <c r="EG48" s="34"/>
      <c r="EH48" s="34"/>
      <c r="EI48" s="118">
        <f t="shared" si="90"/>
        <v>0</v>
      </c>
      <c r="EJ48" s="34"/>
      <c r="EK48" s="313">
        <f t="shared" si="91"/>
        <v>58</v>
      </c>
      <c r="EL48" s="34"/>
      <c r="EM48" s="34"/>
      <c r="EN48" s="30">
        <f t="shared" si="92"/>
      </c>
      <c r="EO48" s="30" t="str">
        <f t="shared" si="9"/>
        <v>本區間內仍符合，但實際退休日期須配合條件成就時間及學期</v>
      </c>
      <c r="EP48" s="20" t="str">
        <f t="shared" si="93"/>
        <v>本區間內仍符合，但實際退休日期須配合條件成就時間及學期</v>
      </c>
      <c r="EQ48" s="315"/>
    </row>
    <row r="49" spans="1:147" s="29" customFormat="1" ht="15" customHeight="1">
      <c r="A49" s="143"/>
      <c r="B49" s="149">
        <f t="shared" si="98"/>
        <v>123</v>
      </c>
      <c r="C49" s="26">
        <f t="shared" si="94"/>
        <v>20341231</v>
      </c>
      <c r="D49" s="26" t="str">
        <f t="shared" si="10"/>
        <v>2034</v>
      </c>
      <c r="E49" s="26" t="str">
        <f t="shared" si="11"/>
        <v>12</v>
      </c>
      <c r="F49" s="26" t="str">
        <f t="shared" si="12"/>
        <v>31</v>
      </c>
      <c r="G49" s="300">
        <f t="shared" si="13"/>
        <v>49309</v>
      </c>
      <c r="H49" s="116">
        <f t="shared" si="0"/>
        <v>33</v>
      </c>
      <c r="I49" s="116">
        <f t="shared" si="14"/>
        <v>4</v>
      </c>
      <c r="J49" s="26">
        <f t="shared" si="100"/>
        <v>30</v>
      </c>
      <c r="K49" s="117">
        <f t="shared" si="15"/>
        <v>35</v>
      </c>
      <c r="L49" s="117">
        <f t="shared" si="16"/>
        <v>3</v>
      </c>
      <c r="M49" s="117">
        <f t="shared" si="17"/>
        <v>8</v>
      </c>
      <c r="N49" s="571" t="str">
        <f t="shared" si="99"/>
        <v>123.1.1~123.12.31</v>
      </c>
      <c r="O49" s="572"/>
      <c r="P49" s="572"/>
      <c r="Q49" s="573"/>
      <c r="R49" s="390"/>
      <c r="S49" s="391">
        <f t="shared" si="18"/>
        <v>65</v>
      </c>
      <c r="T49" s="392">
        <f t="shared" si="19"/>
        <v>35</v>
      </c>
      <c r="U49" s="393">
        <f t="shared" si="20"/>
        <v>100</v>
      </c>
      <c r="V49" s="148">
        <f t="shared" si="21"/>
      </c>
      <c r="W49" s="430" t="str">
        <f t="shared" si="22"/>
        <v>已達屆齡退休限齡</v>
      </c>
      <c r="X49" s="402"/>
      <c r="Y49" s="402"/>
      <c r="Z49" s="431"/>
      <c r="AA49" s="276">
        <f t="shared" si="23"/>
      </c>
      <c r="AB49" s="249">
        <f t="shared" si="24"/>
      </c>
      <c r="AC49" s="330">
        <f t="shared" si="25"/>
      </c>
      <c r="AD49" s="102"/>
      <c r="AE49" s="118">
        <f t="shared" si="26"/>
        <v>0</v>
      </c>
      <c r="AF49" s="118">
        <f t="shared" si="27"/>
        <v>0</v>
      </c>
      <c r="AG49" s="118">
        <f t="shared" si="28"/>
        <v>1</v>
      </c>
      <c r="AH49" s="118">
        <f>IF(OR(AE49+AF49+AG49&gt;0,SUM($AE$30:AG48)&gt;0),1,0)</f>
        <v>1</v>
      </c>
      <c r="AI49" s="118">
        <f t="shared" si="29"/>
      </c>
      <c r="AJ49" s="118">
        <f t="shared" si="30"/>
      </c>
      <c r="AK49" s="118" t="str">
        <f t="shared" si="31"/>
        <v>符合「年齡滿65歲、年資滿15年」之擇領月退休金條件</v>
      </c>
      <c r="AL49" s="118" t="str">
        <f t="shared" si="32"/>
        <v>符合「年齡滿65歲、年資滿15年」之擇領月退休金條件</v>
      </c>
      <c r="AM49" s="119">
        <f t="shared" si="33"/>
        <v>0</v>
      </c>
      <c r="AN49" s="119">
        <f t="shared" si="34"/>
        <v>1</v>
      </c>
      <c r="AO49" s="119" t="str">
        <f t="shared" si="35"/>
        <v>符合</v>
      </c>
      <c r="AP49" s="119">
        <f t="shared" si="36"/>
        <v>65</v>
      </c>
      <c r="AQ49" s="119">
        <f t="shared" si="37"/>
        <v>20341231</v>
      </c>
      <c r="AR49" s="119" t="str">
        <f t="shared" si="38"/>
        <v>123.1.1~123.12.31</v>
      </c>
      <c r="AS49" s="120">
        <f t="shared" si="39"/>
      </c>
      <c r="AT49" s="121">
        <f t="shared" si="40"/>
      </c>
      <c r="AU49" s="121">
        <f t="shared" si="41"/>
        <v>1</v>
      </c>
      <c r="AV49" s="119">
        <f t="shared" si="42"/>
      </c>
      <c r="AW49" s="122">
        <f t="shared" si="43"/>
      </c>
      <c r="AX49" s="31">
        <f t="shared" si="44"/>
        <v>0</v>
      </c>
      <c r="AY49" s="7">
        <f t="shared" si="45"/>
        <v>1</v>
      </c>
      <c r="AZ49" s="123">
        <f t="shared" si="46"/>
        <v>1</v>
      </c>
      <c r="BA49" s="123">
        <f t="shared" si="47"/>
        <v>0</v>
      </c>
      <c r="BB49" s="123">
        <f t="shared" si="48"/>
      </c>
      <c r="BC49" s="33"/>
      <c r="BD49" s="33"/>
      <c r="BE49" s="33"/>
      <c r="BF49" s="33"/>
      <c r="BG49" s="30"/>
      <c r="BH49" s="30"/>
      <c r="BI49" s="30"/>
      <c r="BJ49" s="30"/>
      <c r="BK49" s="30"/>
      <c r="BL49" s="30"/>
      <c r="BM49" s="30"/>
      <c r="BN49" s="124"/>
      <c r="BO49" s="125"/>
      <c r="BP49" s="125"/>
      <c r="BQ49" s="126"/>
      <c r="BR49" s="126"/>
      <c r="BS49" s="126"/>
      <c r="BT49" s="127">
        <v>58</v>
      </c>
      <c r="BU49" s="127"/>
      <c r="BV49" s="127"/>
      <c r="BW49" s="179">
        <f t="shared" si="101"/>
        <v>23</v>
      </c>
      <c r="BX49" s="7">
        <f t="shared" si="102"/>
        <v>9</v>
      </c>
      <c r="BY49" s="20">
        <f t="shared" si="51"/>
        <v>123</v>
      </c>
      <c r="BZ49" s="2" t="str">
        <f t="shared" si="52"/>
        <v>123.2.5</v>
      </c>
      <c r="CA49" s="181">
        <f t="shared" si="53"/>
        <v>2</v>
      </c>
      <c r="CB49" s="2">
        <f t="shared" si="103"/>
        <v>5</v>
      </c>
      <c r="CC49" s="2" t="str">
        <f t="shared" si="54"/>
        <v>123.9.28</v>
      </c>
      <c r="CD49" s="181">
        <f t="shared" si="95"/>
        <v>9</v>
      </c>
      <c r="CE49" s="2">
        <f t="shared" si="96"/>
        <v>28</v>
      </c>
      <c r="CF49" s="2" t="str">
        <f t="shared" si="104"/>
        <v>生日</v>
      </c>
      <c r="CG49" s="2" t="str">
        <f t="shared" si="105"/>
        <v>123.2.5</v>
      </c>
      <c r="CH49" s="2">
        <f t="shared" si="106"/>
        <v>2</v>
      </c>
      <c r="CI49" s="2" t="str">
        <f t="shared" si="107"/>
        <v>初任</v>
      </c>
      <c r="CJ49" s="2" t="str">
        <f t="shared" si="108"/>
        <v>123.9.28</v>
      </c>
      <c r="CK49" s="2">
        <f t="shared" si="109"/>
        <v>9</v>
      </c>
      <c r="CL49" s="2">
        <f t="shared" si="110"/>
        <v>0</v>
      </c>
      <c r="CM49" s="339">
        <f t="shared" si="62"/>
      </c>
      <c r="CN49" s="2">
        <f t="shared" si="63"/>
      </c>
      <c r="CO49" s="2">
        <f t="shared" si="64"/>
      </c>
      <c r="CP49" s="2">
        <f t="shared" si="65"/>
      </c>
      <c r="CQ49" s="2">
        <f t="shared" si="66"/>
      </c>
      <c r="CR49" s="2">
        <f t="shared" si="7"/>
      </c>
      <c r="CS49" s="128">
        <f t="shared" si="8"/>
      </c>
      <c r="CT49" s="2">
        <f t="shared" si="67"/>
      </c>
      <c r="CU49" s="2">
        <f t="shared" si="68"/>
      </c>
      <c r="CV49" s="128">
        <f t="shared" si="69"/>
      </c>
      <c r="CW49" s="2" t="str">
        <f t="shared" si="97"/>
        <v>123.1.1</v>
      </c>
      <c r="CX49" s="2">
        <f t="shared" si="70"/>
        <v>1</v>
      </c>
      <c r="CY49" s="128" t="str">
        <f t="shared" si="71"/>
        <v>123.2.1。【說明：原實際條件成就時間為123.1.1，惟因必須配合學期而延至當學期結束之次日，始能退休生效，爰推算為123.2.1】</v>
      </c>
      <c r="CZ49" s="2">
        <f t="shared" si="72"/>
      </c>
      <c r="DA49" s="2">
        <f t="shared" si="73"/>
      </c>
      <c r="DB49" s="128">
        <f t="shared" si="74"/>
      </c>
      <c r="DC49" s="2">
        <f t="shared" si="75"/>
      </c>
      <c r="DD49" s="2">
        <f t="shared" si="76"/>
      </c>
      <c r="DE49" s="128">
        <f t="shared" si="77"/>
      </c>
      <c r="DF49" s="2"/>
      <c r="DG49" s="2"/>
      <c r="DH49" s="128"/>
      <c r="DI49" s="2">
        <f t="shared" si="78"/>
      </c>
      <c r="DJ49" s="2">
        <f t="shared" si="79"/>
      </c>
      <c r="DK49" s="128">
        <f t="shared" si="80"/>
      </c>
      <c r="DL49" s="128"/>
      <c r="DM49" s="21" t="str">
        <f t="shared" si="81"/>
        <v>123.2.1。【說明：原實際條件成就時間為123.1.1，惟因必須配合學期而延至當學期結束之次日，始能退休生效，爰推算為123.2.1】</v>
      </c>
      <c r="DN49" s="2" t="str">
        <f t="shared" si="82"/>
        <v>123.1.1</v>
      </c>
      <c r="DO49" s="2"/>
      <c r="DP49" s="2"/>
      <c r="DQ49" s="2"/>
      <c r="DR49" s="2"/>
      <c r="DS49" s="2"/>
      <c r="DT49" s="2"/>
      <c r="DU49" s="2"/>
      <c r="DV49" s="10"/>
      <c r="DW49" s="2">
        <f t="shared" si="83"/>
        <v>123</v>
      </c>
      <c r="DX49" s="2">
        <f t="shared" si="84"/>
      </c>
      <c r="DY49" s="34"/>
      <c r="DZ49" s="7">
        <f t="shared" si="85"/>
        <v>1</v>
      </c>
      <c r="EA49" s="123">
        <f t="shared" si="86"/>
        <v>0</v>
      </c>
      <c r="EB49" s="211">
        <f t="shared" si="87"/>
      </c>
      <c r="EC49" s="210">
        <f t="shared" si="88"/>
      </c>
      <c r="ED49" s="210" t="e">
        <f t="shared" si="89"/>
        <v>#VALUE!</v>
      </c>
      <c r="EE49" s="34"/>
      <c r="EF49" s="34"/>
      <c r="EG49" s="34"/>
      <c r="EH49" s="34"/>
      <c r="EI49" s="118">
        <f t="shared" si="90"/>
        <v>0</v>
      </c>
      <c r="EJ49" s="34"/>
      <c r="EK49" s="313">
        <f t="shared" si="91"/>
        <v>58</v>
      </c>
      <c r="EL49" s="34"/>
      <c r="EM49" s="34"/>
      <c r="EN49" s="30">
        <f t="shared" si="92"/>
      </c>
      <c r="EO49" s="30" t="str">
        <f t="shared" si="9"/>
        <v>已達屆齡退休限齡</v>
      </c>
      <c r="EP49" s="20" t="str">
        <f t="shared" si="93"/>
        <v>已達屆齡退休限齡</v>
      </c>
      <c r="EQ49" s="315"/>
    </row>
    <row r="50" spans="1:147" s="29" customFormat="1" ht="15" customHeight="1">
      <c r="A50" s="143"/>
      <c r="B50" s="149">
        <f t="shared" si="98"/>
        <v>124</v>
      </c>
      <c r="C50" s="26">
        <f t="shared" si="94"/>
        <v>20351231</v>
      </c>
      <c r="D50" s="26" t="str">
        <f t="shared" si="10"/>
        <v>2035</v>
      </c>
      <c r="E50" s="26" t="str">
        <f t="shared" si="11"/>
        <v>12</v>
      </c>
      <c r="F50" s="26" t="str">
        <f t="shared" si="12"/>
        <v>31</v>
      </c>
      <c r="G50" s="300">
        <f t="shared" si="13"/>
        <v>49674</v>
      </c>
      <c r="H50" s="116">
        <f t="shared" si="0"/>
        <v>34</v>
      </c>
      <c r="I50" s="116">
        <f t="shared" si="14"/>
        <v>4</v>
      </c>
      <c r="J50" s="26">
        <f t="shared" si="100"/>
        <v>30</v>
      </c>
      <c r="K50" s="117">
        <f t="shared" si="15"/>
        <v>36</v>
      </c>
      <c r="L50" s="117">
        <f t="shared" si="16"/>
        <v>3</v>
      </c>
      <c r="M50" s="117">
        <f t="shared" si="17"/>
        <v>8</v>
      </c>
      <c r="N50" s="571" t="str">
        <f t="shared" si="99"/>
        <v>124.1.1~124.12.31</v>
      </c>
      <c r="O50" s="572"/>
      <c r="P50" s="572"/>
      <c r="Q50" s="573"/>
      <c r="R50" s="390"/>
      <c r="S50" s="391">
        <f t="shared" si="18"/>
        <v>66</v>
      </c>
      <c r="T50" s="392">
        <f t="shared" si="19"/>
        <v>36</v>
      </c>
      <c r="U50" s="393">
        <f t="shared" si="20"/>
        <v>102</v>
      </c>
      <c r="V50" s="148">
        <f t="shared" si="21"/>
      </c>
      <c r="W50" s="430" t="str">
        <f t="shared" si="22"/>
        <v>已逾屆齡退休限齡</v>
      </c>
      <c r="X50" s="402"/>
      <c r="Y50" s="402"/>
      <c r="Z50" s="431"/>
      <c r="AA50" s="276">
        <f t="shared" si="23"/>
      </c>
      <c r="AB50" s="249">
        <f t="shared" si="24"/>
      </c>
      <c r="AC50" s="330">
        <f t="shared" si="25"/>
      </c>
      <c r="AD50" s="102"/>
      <c r="AE50" s="118">
        <f t="shared" si="26"/>
        <v>0</v>
      </c>
      <c r="AF50" s="118">
        <f t="shared" si="27"/>
        <v>0</v>
      </c>
      <c r="AG50" s="118">
        <f t="shared" si="28"/>
        <v>1</v>
      </c>
      <c r="AH50" s="118">
        <f>IF(OR(AE50+AF50+AG50&gt;0,SUM($AE$30:AG49)&gt;0),1,0)</f>
        <v>1</v>
      </c>
      <c r="AI50" s="118">
        <f t="shared" si="29"/>
      </c>
      <c r="AJ50" s="118">
        <f t="shared" si="30"/>
      </c>
      <c r="AK50" s="118" t="str">
        <f t="shared" si="31"/>
        <v>符合「年齡滿65歲、年資滿15年」之擇領月退休金條件</v>
      </c>
      <c r="AL50" s="118" t="str">
        <f t="shared" si="32"/>
        <v>符合「年齡滿65歲、年資滿15年」之擇領月退休金條件</v>
      </c>
      <c r="AM50" s="119">
        <f t="shared" si="33"/>
        <v>0</v>
      </c>
      <c r="AN50" s="119">
        <f t="shared" si="34"/>
        <v>1</v>
      </c>
      <c r="AO50" s="119" t="str">
        <f t="shared" si="35"/>
        <v>符合</v>
      </c>
      <c r="AP50" s="119">
        <f t="shared" si="36"/>
        <v>66</v>
      </c>
      <c r="AQ50" s="119">
        <f t="shared" si="37"/>
        <v>20351231</v>
      </c>
      <c r="AR50" s="119" t="str">
        <f t="shared" si="38"/>
        <v>124.1.1~124.12.31</v>
      </c>
      <c r="AS50" s="120">
        <f t="shared" si="39"/>
      </c>
      <c r="AT50" s="121">
        <f t="shared" si="40"/>
      </c>
      <c r="AU50" s="121">
        <f t="shared" si="41"/>
        <v>1</v>
      </c>
      <c r="AV50" s="119">
        <f t="shared" si="42"/>
      </c>
      <c r="AW50" s="122">
        <f t="shared" si="43"/>
      </c>
      <c r="AX50" s="31">
        <f t="shared" si="44"/>
        <v>0</v>
      </c>
      <c r="AY50" s="7">
        <f t="shared" si="45"/>
        <v>1</v>
      </c>
      <c r="AZ50" s="123">
        <f t="shared" si="46"/>
        <v>1</v>
      </c>
      <c r="BA50" s="123">
        <f t="shared" si="47"/>
        <v>0</v>
      </c>
      <c r="BB50" s="123">
        <f t="shared" si="48"/>
      </c>
      <c r="BC50" s="33"/>
      <c r="BD50" s="33"/>
      <c r="BE50" s="33"/>
      <c r="BF50" s="33"/>
      <c r="BG50" s="30"/>
      <c r="BH50" s="30"/>
      <c r="BI50" s="30"/>
      <c r="BJ50" s="30"/>
      <c r="BK50" s="30"/>
      <c r="BL50" s="30"/>
      <c r="BM50" s="30"/>
      <c r="BN50" s="124"/>
      <c r="BO50" s="125"/>
      <c r="BP50" s="125"/>
      <c r="BQ50" s="126"/>
      <c r="BR50" s="126"/>
      <c r="BS50" s="126"/>
      <c r="BT50" s="127">
        <v>58</v>
      </c>
      <c r="BU50" s="127"/>
      <c r="BV50" s="127"/>
      <c r="BW50" s="179">
        <f t="shared" si="101"/>
        <v>23</v>
      </c>
      <c r="BX50" s="7">
        <f t="shared" si="102"/>
        <v>9</v>
      </c>
      <c r="BY50" s="20">
        <f t="shared" si="51"/>
        <v>124</v>
      </c>
      <c r="BZ50" s="2" t="str">
        <f t="shared" si="52"/>
        <v>124.2.5</v>
      </c>
      <c r="CA50" s="181">
        <f t="shared" si="53"/>
        <v>2</v>
      </c>
      <c r="CB50" s="2">
        <f t="shared" si="103"/>
        <v>5</v>
      </c>
      <c r="CC50" s="2" t="str">
        <f t="shared" si="54"/>
        <v>124.9.28</v>
      </c>
      <c r="CD50" s="181">
        <f t="shared" si="95"/>
        <v>9</v>
      </c>
      <c r="CE50" s="2">
        <f t="shared" si="96"/>
        <v>28</v>
      </c>
      <c r="CF50" s="2" t="str">
        <f t="shared" si="104"/>
        <v>生日</v>
      </c>
      <c r="CG50" s="2" t="str">
        <f t="shared" si="105"/>
        <v>124.2.5</v>
      </c>
      <c r="CH50" s="2">
        <f t="shared" si="106"/>
        <v>2</v>
      </c>
      <c r="CI50" s="2" t="str">
        <f t="shared" si="107"/>
        <v>初任</v>
      </c>
      <c r="CJ50" s="2" t="str">
        <f t="shared" si="108"/>
        <v>124.9.28</v>
      </c>
      <c r="CK50" s="2">
        <f t="shared" si="109"/>
        <v>9</v>
      </c>
      <c r="CL50" s="2">
        <f t="shared" si="110"/>
        <v>0</v>
      </c>
      <c r="CM50" s="339">
        <f t="shared" si="62"/>
      </c>
      <c r="CN50" s="2">
        <f t="shared" si="63"/>
      </c>
      <c r="CO50" s="2">
        <f t="shared" si="64"/>
      </c>
      <c r="CP50" s="2">
        <f t="shared" si="65"/>
      </c>
      <c r="CQ50" s="2">
        <f t="shared" si="66"/>
      </c>
      <c r="CR50" s="2">
        <f t="shared" si="7"/>
      </c>
      <c r="CS50" s="128">
        <f t="shared" si="8"/>
      </c>
      <c r="CT50" s="2">
        <f t="shared" si="67"/>
      </c>
      <c r="CU50" s="2">
        <f t="shared" si="68"/>
      </c>
      <c r="CV50" s="128">
        <f t="shared" si="69"/>
      </c>
      <c r="CW50" s="2" t="str">
        <f t="shared" si="97"/>
        <v>124.1.1</v>
      </c>
      <c r="CX50" s="2">
        <f t="shared" si="70"/>
        <v>1</v>
      </c>
      <c r="CY50" s="128" t="str">
        <f t="shared" si="71"/>
        <v>124.2.1。【說明：原實際條件成就時間為124.1.1，惟因必須配合學期而延至當學期結束之次日，始能退休生效，爰推算為124.2.1】</v>
      </c>
      <c r="CZ50" s="2">
        <f t="shared" si="72"/>
      </c>
      <c r="DA50" s="2">
        <f t="shared" si="73"/>
      </c>
      <c r="DB50" s="128">
        <f t="shared" si="74"/>
      </c>
      <c r="DC50" s="2">
        <f t="shared" si="75"/>
      </c>
      <c r="DD50" s="2">
        <f t="shared" si="76"/>
      </c>
      <c r="DE50" s="128">
        <f t="shared" si="77"/>
      </c>
      <c r="DF50" s="2"/>
      <c r="DG50" s="2"/>
      <c r="DH50" s="128"/>
      <c r="DI50" s="2">
        <f t="shared" si="78"/>
      </c>
      <c r="DJ50" s="2">
        <f t="shared" si="79"/>
      </c>
      <c r="DK50" s="128">
        <f t="shared" si="80"/>
      </c>
      <c r="DL50" s="128"/>
      <c r="DM50" s="21" t="str">
        <f t="shared" si="81"/>
        <v>124.2.1。【說明：原實際條件成就時間為124.1.1，惟因必須配合學期而延至當學期結束之次日，始能退休生效，爰推算為124.2.1】</v>
      </c>
      <c r="DN50" s="2" t="str">
        <f t="shared" si="82"/>
        <v>124.1.1</v>
      </c>
      <c r="DO50" s="2"/>
      <c r="DP50" s="2"/>
      <c r="DQ50" s="2"/>
      <c r="DR50" s="2"/>
      <c r="DS50" s="2"/>
      <c r="DT50" s="2"/>
      <c r="DU50" s="2"/>
      <c r="DV50" s="10"/>
      <c r="DW50" s="2">
        <f t="shared" si="83"/>
        <v>124</v>
      </c>
      <c r="DX50" s="2">
        <f t="shared" si="84"/>
      </c>
      <c r="DY50" s="34"/>
      <c r="DZ50" s="7">
        <f t="shared" si="85"/>
        <v>1</v>
      </c>
      <c r="EA50" s="123">
        <f t="shared" si="86"/>
        <v>0</v>
      </c>
      <c r="EB50" s="211">
        <f t="shared" si="87"/>
      </c>
      <c r="EC50" s="210">
        <f t="shared" si="88"/>
      </c>
      <c r="ED50" s="210" t="e">
        <f t="shared" si="89"/>
        <v>#VALUE!</v>
      </c>
      <c r="EE50" s="34"/>
      <c r="EF50" s="34"/>
      <c r="EG50" s="34"/>
      <c r="EH50" s="34"/>
      <c r="EI50" s="118">
        <f t="shared" si="90"/>
        <v>0</v>
      </c>
      <c r="EJ50" s="34"/>
      <c r="EK50" s="313">
        <f t="shared" si="91"/>
        <v>58</v>
      </c>
      <c r="EL50" s="34"/>
      <c r="EM50" s="34"/>
      <c r="EN50" s="30">
        <f t="shared" si="92"/>
      </c>
      <c r="EO50" s="30" t="str">
        <f t="shared" si="9"/>
        <v>已逾屆齡退休限齡</v>
      </c>
      <c r="EP50" s="20" t="str">
        <f t="shared" si="93"/>
        <v>已逾屆齡退休限齡</v>
      </c>
      <c r="EQ50" s="315"/>
    </row>
    <row r="51" spans="1:147" s="29" customFormat="1" ht="15" customHeight="1">
      <c r="A51" s="143"/>
      <c r="B51" s="149">
        <f t="shared" si="98"/>
        <v>125</v>
      </c>
      <c r="C51" s="26">
        <f t="shared" si="94"/>
        <v>20361231</v>
      </c>
      <c r="D51" s="26" t="str">
        <f t="shared" si="10"/>
        <v>2036</v>
      </c>
      <c r="E51" s="26" t="str">
        <f t="shared" si="11"/>
        <v>12</v>
      </c>
      <c r="F51" s="26" t="str">
        <f t="shared" si="12"/>
        <v>31</v>
      </c>
      <c r="G51" s="300">
        <f t="shared" si="13"/>
        <v>50040</v>
      </c>
      <c r="H51" s="116">
        <f t="shared" si="0"/>
        <v>35</v>
      </c>
      <c r="I51" s="116">
        <f t="shared" si="14"/>
        <v>4</v>
      </c>
      <c r="J51" s="26">
        <f t="shared" si="100"/>
        <v>30</v>
      </c>
      <c r="K51" s="117">
        <f t="shared" si="15"/>
        <v>37</v>
      </c>
      <c r="L51" s="117">
        <f t="shared" si="16"/>
        <v>3</v>
      </c>
      <c r="M51" s="117">
        <f t="shared" si="17"/>
        <v>8</v>
      </c>
      <c r="N51" s="571" t="str">
        <f t="shared" si="99"/>
        <v>125.1.1~125.12.31</v>
      </c>
      <c r="O51" s="572"/>
      <c r="P51" s="572"/>
      <c r="Q51" s="573"/>
      <c r="R51" s="390"/>
      <c r="S51" s="391">
        <f t="shared" si="18"/>
        <v>67</v>
      </c>
      <c r="T51" s="392">
        <f t="shared" si="19"/>
        <v>37</v>
      </c>
      <c r="U51" s="393">
        <f t="shared" si="20"/>
        <v>104</v>
      </c>
      <c r="V51" s="148">
        <f t="shared" si="21"/>
      </c>
      <c r="W51" s="430">
        <f t="shared" si="22"/>
      </c>
      <c r="X51" s="402"/>
      <c r="Y51" s="402"/>
      <c r="Z51" s="431"/>
      <c r="AA51" s="276">
        <f t="shared" si="23"/>
      </c>
      <c r="AB51" s="249">
        <f t="shared" si="24"/>
      </c>
      <c r="AC51" s="330">
        <f t="shared" si="25"/>
      </c>
      <c r="AD51" s="102"/>
      <c r="AE51" s="118">
        <f t="shared" si="26"/>
        <v>0</v>
      </c>
      <c r="AF51" s="118">
        <f t="shared" si="27"/>
        <v>0</v>
      </c>
      <c r="AG51" s="118">
        <f t="shared" si="28"/>
        <v>1</v>
      </c>
      <c r="AH51" s="118">
        <f>IF(OR(AE51+AF51+AG51&gt;0,SUM($AE$30:AG50)&gt;0),1,0)</f>
        <v>1</v>
      </c>
      <c r="AI51" s="118">
        <f t="shared" si="29"/>
      </c>
      <c r="AJ51" s="118">
        <f t="shared" si="30"/>
      </c>
      <c r="AK51" s="118" t="str">
        <f t="shared" si="31"/>
        <v>符合「年齡滿65歲、年資滿15年」之擇領月退休金條件</v>
      </c>
      <c r="AL51" s="118" t="str">
        <f t="shared" si="32"/>
        <v>符合「年齡滿65歲、年資滿15年」之擇領月退休金條件</v>
      </c>
      <c r="AM51" s="119">
        <f t="shared" si="33"/>
        <v>0</v>
      </c>
      <c r="AN51" s="119">
        <f t="shared" si="34"/>
        <v>1</v>
      </c>
      <c r="AO51" s="119" t="str">
        <f t="shared" si="35"/>
        <v>符合</v>
      </c>
      <c r="AP51" s="119">
        <f t="shared" si="36"/>
        <v>67</v>
      </c>
      <c r="AQ51" s="119">
        <f t="shared" si="37"/>
        <v>20361231</v>
      </c>
      <c r="AR51" s="119" t="str">
        <f t="shared" si="38"/>
        <v>125.1.1~125.12.31</v>
      </c>
      <c r="AS51" s="120">
        <f t="shared" si="39"/>
      </c>
      <c r="AT51" s="121">
        <f t="shared" si="40"/>
      </c>
      <c r="AU51" s="121">
        <f t="shared" si="41"/>
        <v>1</v>
      </c>
      <c r="AV51" s="119">
        <f t="shared" si="42"/>
      </c>
      <c r="AW51" s="122">
        <f t="shared" si="43"/>
      </c>
      <c r="AX51" s="31">
        <f t="shared" si="44"/>
        <v>0</v>
      </c>
      <c r="AY51" s="7">
        <f t="shared" si="45"/>
        <v>1</v>
      </c>
      <c r="AZ51" s="123">
        <f t="shared" si="46"/>
        <v>1</v>
      </c>
      <c r="BA51" s="123">
        <f t="shared" si="47"/>
        <v>0</v>
      </c>
      <c r="BB51" s="123">
        <f t="shared" si="48"/>
      </c>
      <c r="BC51" s="33"/>
      <c r="BD51" s="33"/>
      <c r="BE51" s="33"/>
      <c r="BF51" s="33"/>
      <c r="BG51" s="30"/>
      <c r="BH51" s="30"/>
      <c r="BI51" s="30"/>
      <c r="BJ51" s="30"/>
      <c r="BK51" s="30"/>
      <c r="BL51" s="30"/>
      <c r="BM51" s="30"/>
      <c r="BN51" s="124"/>
      <c r="BO51" s="125"/>
      <c r="BP51" s="125"/>
      <c r="BQ51" s="126"/>
      <c r="BR51" s="126"/>
      <c r="BS51" s="126"/>
      <c r="BT51" s="127">
        <v>58</v>
      </c>
      <c r="BU51" s="127"/>
      <c r="BV51" s="127"/>
      <c r="BW51" s="179">
        <f t="shared" si="101"/>
        <v>23</v>
      </c>
      <c r="BX51" s="7">
        <f t="shared" si="102"/>
        <v>9</v>
      </c>
      <c r="BY51" s="20">
        <f t="shared" si="51"/>
        <v>125</v>
      </c>
      <c r="BZ51" s="2" t="str">
        <f t="shared" si="52"/>
        <v>125.2.5</v>
      </c>
      <c r="CA51" s="181">
        <f t="shared" si="53"/>
        <v>2</v>
      </c>
      <c r="CB51" s="2">
        <f t="shared" si="103"/>
        <v>5</v>
      </c>
      <c r="CC51" s="2" t="str">
        <f t="shared" si="54"/>
        <v>125.9.28</v>
      </c>
      <c r="CD51" s="181">
        <f t="shared" si="95"/>
        <v>9</v>
      </c>
      <c r="CE51" s="2">
        <f t="shared" si="96"/>
        <v>28</v>
      </c>
      <c r="CF51" s="2" t="str">
        <f t="shared" si="104"/>
        <v>生日</v>
      </c>
      <c r="CG51" s="2" t="str">
        <f t="shared" si="105"/>
        <v>125.2.5</v>
      </c>
      <c r="CH51" s="2">
        <f t="shared" si="106"/>
        <v>2</v>
      </c>
      <c r="CI51" s="2" t="str">
        <f t="shared" si="107"/>
        <v>初任</v>
      </c>
      <c r="CJ51" s="2" t="str">
        <f t="shared" si="108"/>
        <v>125.9.28</v>
      </c>
      <c r="CK51" s="2">
        <f t="shared" si="109"/>
        <v>9</v>
      </c>
      <c r="CL51" s="2">
        <f t="shared" si="110"/>
        <v>0</v>
      </c>
      <c r="CM51" s="339">
        <f t="shared" si="62"/>
      </c>
      <c r="CN51" s="2">
        <f t="shared" si="63"/>
      </c>
      <c r="CO51" s="2">
        <f t="shared" si="64"/>
      </c>
      <c r="CP51" s="2">
        <f t="shared" si="65"/>
      </c>
      <c r="CQ51" s="2">
        <f t="shared" si="66"/>
      </c>
      <c r="CR51" s="2">
        <f t="shared" si="7"/>
      </c>
      <c r="CS51" s="128">
        <f t="shared" si="8"/>
      </c>
      <c r="CT51" s="2">
        <f t="shared" si="67"/>
      </c>
      <c r="CU51" s="2">
        <f t="shared" si="68"/>
      </c>
      <c r="CV51" s="128">
        <f t="shared" si="69"/>
      </c>
      <c r="CW51" s="2" t="str">
        <f t="shared" si="97"/>
        <v>125.1.1</v>
      </c>
      <c r="CX51" s="2">
        <f t="shared" si="70"/>
        <v>1</v>
      </c>
      <c r="CY51" s="128" t="str">
        <f t="shared" si="71"/>
        <v>125.2.1。【說明：原實際條件成就時間為125.1.1，惟因必須配合學期而延至當學期結束之次日，始能退休生效，爰推算為125.2.1】</v>
      </c>
      <c r="CZ51" s="2">
        <f t="shared" si="72"/>
      </c>
      <c r="DA51" s="2">
        <f t="shared" si="73"/>
      </c>
      <c r="DB51" s="128">
        <f t="shared" si="74"/>
      </c>
      <c r="DC51" s="2">
        <f t="shared" si="75"/>
      </c>
      <c r="DD51" s="2">
        <f t="shared" si="76"/>
      </c>
      <c r="DE51" s="128">
        <f t="shared" si="77"/>
      </c>
      <c r="DF51" s="2"/>
      <c r="DG51" s="2"/>
      <c r="DH51" s="128"/>
      <c r="DI51" s="2">
        <f t="shared" si="78"/>
      </c>
      <c r="DJ51" s="2">
        <f t="shared" si="79"/>
      </c>
      <c r="DK51" s="128">
        <f t="shared" si="80"/>
      </c>
      <c r="DL51" s="128"/>
      <c r="DM51" s="21" t="str">
        <f t="shared" si="81"/>
        <v>125.2.1。【說明：原實際條件成就時間為125.1.1，惟因必須配合學期而延至當學期結束之次日，始能退休生效，爰推算為125.2.1】</v>
      </c>
      <c r="DN51" s="2" t="str">
        <f t="shared" si="82"/>
        <v>125.1.1</v>
      </c>
      <c r="DO51" s="2"/>
      <c r="DP51" s="2"/>
      <c r="DQ51" s="2"/>
      <c r="DR51" s="2"/>
      <c r="DS51" s="2"/>
      <c r="DT51" s="2"/>
      <c r="DU51" s="2"/>
      <c r="DV51" s="10"/>
      <c r="DW51" s="2">
        <f t="shared" si="83"/>
        <v>125</v>
      </c>
      <c r="DX51" s="2">
        <f t="shared" si="84"/>
      </c>
      <c r="DY51" s="34"/>
      <c r="DZ51" s="7">
        <f t="shared" si="85"/>
        <v>1</v>
      </c>
      <c r="EA51" s="123">
        <f t="shared" si="86"/>
        <v>0</v>
      </c>
      <c r="EB51" s="211">
        <f t="shared" si="87"/>
      </c>
      <c r="EC51" s="210">
        <f t="shared" si="88"/>
      </c>
      <c r="ED51" s="210" t="e">
        <f t="shared" si="89"/>
        <v>#VALUE!</v>
      </c>
      <c r="EE51" s="34"/>
      <c r="EF51" s="34"/>
      <c r="EG51" s="34"/>
      <c r="EH51" s="34"/>
      <c r="EI51" s="118">
        <f t="shared" si="90"/>
        <v>0</v>
      </c>
      <c r="EJ51" s="34"/>
      <c r="EK51" s="313">
        <f t="shared" si="91"/>
        <v>58</v>
      </c>
      <c r="EL51" s="34"/>
      <c r="EM51" s="34"/>
      <c r="EN51" s="30">
        <f t="shared" si="92"/>
      </c>
      <c r="EO51" s="30">
        <f t="shared" si="9"/>
      </c>
      <c r="EP51" s="20">
        <f t="shared" si="93"/>
      </c>
      <c r="EQ51" s="315"/>
    </row>
    <row r="52" spans="1:147" s="29" customFormat="1" ht="15" customHeight="1">
      <c r="A52" s="143"/>
      <c r="B52" s="149">
        <f t="shared" si="98"/>
        <v>126</v>
      </c>
      <c r="C52" s="26">
        <f t="shared" si="94"/>
        <v>20371231</v>
      </c>
      <c r="D52" s="26" t="str">
        <f t="shared" si="10"/>
        <v>2037</v>
      </c>
      <c r="E52" s="26" t="str">
        <f t="shared" si="11"/>
        <v>12</v>
      </c>
      <c r="F52" s="26" t="str">
        <f t="shared" si="12"/>
        <v>31</v>
      </c>
      <c r="G52" s="300">
        <f t="shared" si="13"/>
        <v>50405</v>
      </c>
      <c r="H52" s="116">
        <f t="shared" si="0"/>
        <v>36</v>
      </c>
      <c r="I52" s="116">
        <f t="shared" si="14"/>
        <v>4</v>
      </c>
      <c r="J52" s="26">
        <f t="shared" si="100"/>
        <v>30</v>
      </c>
      <c r="K52" s="117">
        <f t="shared" si="15"/>
        <v>38</v>
      </c>
      <c r="L52" s="117">
        <f t="shared" si="16"/>
        <v>3</v>
      </c>
      <c r="M52" s="117">
        <f t="shared" si="17"/>
        <v>8</v>
      </c>
      <c r="N52" s="571" t="str">
        <f t="shared" si="99"/>
        <v>126.1.1~126.12.31</v>
      </c>
      <c r="O52" s="572"/>
      <c r="P52" s="572"/>
      <c r="Q52" s="573"/>
      <c r="R52" s="390"/>
      <c r="S52" s="391">
        <f t="shared" si="18"/>
        <v>68</v>
      </c>
      <c r="T52" s="392">
        <f t="shared" si="19"/>
        <v>38</v>
      </c>
      <c r="U52" s="393">
        <f t="shared" si="20"/>
        <v>106</v>
      </c>
      <c r="V52" s="148">
        <f t="shared" si="21"/>
      </c>
      <c r="W52" s="430">
        <f t="shared" si="22"/>
      </c>
      <c r="X52" s="402"/>
      <c r="Y52" s="402"/>
      <c r="Z52" s="431"/>
      <c r="AA52" s="276">
        <f t="shared" si="23"/>
      </c>
      <c r="AB52" s="249">
        <f t="shared" si="24"/>
      </c>
      <c r="AC52" s="330">
        <f t="shared" si="25"/>
      </c>
      <c r="AD52" s="102"/>
      <c r="AE52" s="118">
        <f t="shared" si="26"/>
        <v>0</v>
      </c>
      <c r="AF52" s="118">
        <f t="shared" si="27"/>
        <v>0</v>
      </c>
      <c r="AG52" s="118">
        <f t="shared" si="28"/>
        <v>1</v>
      </c>
      <c r="AH52" s="118">
        <f>IF(OR(AE52+AF52+AG52&gt;0,SUM($AE$30:AG51)&gt;0),1,0)</f>
        <v>1</v>
      </c>
      <c r="AI52" s="118">
        <f t="shared" si="29"/>
      </c>
      <c r="AJ52" s="118">
        <f t="shared" si="30"/>
      </c>
      <c r="AK52" s="118" t="str">
        <f t="shared" si="31"/>
        <v>符合「年齡滿65歲、年資滿15年」之擇領月退休金條件</v>
      </c>
      <c r="AL52" s="118" t="str">
        <f t="shared" si="32"/>
        <v>符合「年齡滿65歲、年資滿15年」之擇領月退休金條件</v>
      </c>
      <c r="AM52" s="119">
        <f t="shared" si="33"/>
        <v>0</v>
      </c>
      <c r="AN52" s="119">
        <f t="shared" si="34"/>
        <v>1</v>
      </c>
      <c r="AO52" s="119" t="str">
        <f t="shared" si="35"/>
        <v>符合</v>
      </c>
      <c r="AP52" s="119">
        <f t="shared" si="36"/>
        <v>68</v>
      </c>
      <c r="AQ52" s="119">
        <f t="shared" si="37"/>
        <v>20371231</v>
      </c>
      <c r="AR52" s="119" t="str">
        <f t="shared" si="38"/>
        <v>126.1.1~126.12.31</v>
      </c>
      <c r="AS52" s="120">
        <f t="shared" si="39"/>
      </c>
      <c r="AT52" s="121">
        <f t="shared" si="40"/>
      </c>
      <c r="AU52" s="121">
        <f t="shared" si="41"/>
        <v>1</v>
      </c>
      <c r="AV52" s="119">
        <f t="shared" si="42"/>
      </c>
      <c r="AW52" s="122">
        <f t="shared" si="43"/>
      </c>
      <c r="AX52" s="31">
        <f t="shared" si="44"/>
        <v>0</v>
      </c>
      <c r="AY52" s="7">
        <f t="shared" si="45"/>
        <v>1</v>
      </c>
      <c r="AZ52" s="123">
        <f t="shared" si="46"/>
        <v>1</v>
      </c>
      <c r="BA52" s="123">
        <f t="shared" si="47"/>
        <v>0</v>
      </c>
      <c r="BB52" s="123">
        <f t="shared" si="48"/>
      </c>
      <c r="BC52" s="33"/>
      <c r="BD52" s="33"/>
      <c r="BE52" s="33"/>
      <c r="BF52" s="33"/>
      <c r="BG52" s="30"/>
      <c r="BH52" s="30"/>
      <c r="BI52" s="30"/>
      <c r="BJ52" s="30"/>
      <c r="BK52" s="30"/>
      <c r="BL52" s="30"/>
      <c r="BM52" s="30"/>
      <c r="BN52" s="124"/>
      <c r="BO52" s="125"/>
      <c r="BP52" s="125"/>
      <c r="BQ52" s="126"/>
      <c r="BR52" s="126"/>
      <c r="BS52" s="126"/>
      <c r="BT52" s="127">
        <v>58</v>
      </c>
      <c r="BU52" s="127"/>
      <c r="BV52" s="127"/>
      <c r="BW52" s="179">
        <f t="shared" si="101"/>
        <v>23</v>
      </c>
      <c r="BX52" s="7">
        <f t="shared" si="102"/>
        <v>9</v>
      </c>
      <c r="BY52" s="20">
        <f t="shared" si="51"/>
        <v>126</v>
      </c>
      <c r="BZ52" s="2" t="str">
        <f t="shared" si="52"/>
        <v>126.2.5</v>
      </c>
      <c r="CA52" s="181">
        <f t="shared" si="53"/>
        <v>2</v>
      </c>
      <c r="CB52" s="2">
        <f t="shared" si="103"/>
        <v>5</v>
      </c>
      <c r="CC52" s="2" t="str">
        <f t="shared" si="54"/>
        <v>126.9.28</v>
      </c>
      <c r="CD52" s="181">
        <f t="shared" si="95"/>
        <v>9</v>
      </c>
      <c r="CE52" s="2">
        <f t="shared" si="96"/>
        <v>28</v>
      </c>
      <c r="CF52" s="2" t="str">
        <f t="shared" si="104"/>
        <v>生日</v>
      </c>
      <c r="CG52" s="2" t="str">
        <f t="shared" si="105"/>
        <v>126.2.5</v>
      </c>
      <c r="CH52" s="2">
        <f t="shared" si="106"/>
        <v>2</v>
      </c>
      <c r="CI52" s="2" t="str">
        <f t="shared" si="107"/>
        <v>初任</v>
      </c>
      <c r="CJ52" s="2" t="str">
        <f t="shared" si="108"/>
        <v>126.9.28</v>
      </c>
      <c r="CK52" s="2">
        <f t="shared" si="109"/>
        <v>9</v>
      </c>
      <c r="CL52" s="2">
        <f t="shared" si="110"/>
        <v>0</v>
      </c>
      <c r="CM52" s="339">
        <f t="shared" si="62"/>
      </c>
      <c r="CN52" s="2">
        <f t="shared" si="63"/>
      </c>
      <c r="CO52" s="2">
        <f t="shared" si="64"/>
      </c>
      <c r="CP52" s="2">
        <f t="shared" si="65"/>
      </c>
      <c r="CQ52" s="2">
        <f t="shared" si="66"/>
      </c>
      <c r="CR52" s="2">
        <f t="shared" si="7"/>
      </c>
      <c r="CS52" s="128">
        <f t="shared" si="8"/>
      </c>
      <c r="CT52" s="2">
        <f t="shared" si="67"/>
      </c>
      <c r="CU52" s="2">
        <f t="shared" si="68"/>
      </c>
      <c r="CV52" s="128">
        <f t="shared" si="69"/>
      </c>
      <c r="CW52" s="2" t="str">
        <f t="shared" si="97"/>
        <v>126.1.1</v>
      </c>
      <c r="CX52" s="2">
        <f t="shared" si="70"/>
        <v>1</v>
      </c>
      <c r="CY52" s="128" t="str">
        <f t="shared" si="71"/>
        <v>126.2.1。【說明：原實際條件成就時間為126.1.1，惟因必須配合學期而延至當學期結束之次日，始能退休生效，爰推算為126.2.1】</v>
      </c>
      <c r="CZ52" s="2">
        <f t="shared" si="72"/>
      </c>
      <c r="DA52" s="2">
        <f t="shared" si="73"/>
      </c>
      <c r="DB52" s="128">
        <f t="shared" si="74"/>
      </c>
      <c r="DC52" s="2">
        <f t="shared" si="75"/>
      </c>
      <c r="DD52" s="2">
        <f t="shared" si="76"/>
      </c>
      <c r="DE52" s="128">
        <f t="shared" si="77"/>
      </c>
      <c r="DF52" s="2"/>
      <c r="DG52" s="2"/>
      <c r="DH52" s="128"/>
      <c r="DI52" s="2">
        <f t="shared" si="78"/>
      </c>
      <c r="DJ52" s="2">
        <f t="shared" si="79"/>
      </c>
      <c r="DK52" s="128">
        <f t="shared" si="80"/>
      </c>
      <c r="DL52" s="128"/>
      <c r="DM52" s="21" t="str">
        <f t="shared" si="81"/>
        <v>126.2.1。【說明：原實際條件成就時間為126.1.1，惟因必須配合學期而延至當學期結束之次日，始能退休生效，爰推算為126.2.1】</v>
      </c>
      <c r="DN52" s="2" t="str">
        <f t="shared" si="82"/>
        <v>126.1.1</v>
      </c>
      <c r="DO52" s="2"/>
      <c r="DP52" s="2"/>
      <c r="DQ52" s="2"/>
      <c r="DR52" s="2"/>
      <c r="DS52" s="2"/>
      <c r="DT52" s="2"/>
      <c r="DU52" s="2"/>
      <c r="DV52" s="10"/>
      <c r="DW52" s="2">
        <f t="shared" si="83"/>
        <v>126</v>
      </c>
      <c r="DX52" s="2">
        <f t="shared" si="84"/>
      </c>
      <c r="DY52" s="34"/>
      <c r="DZ52" s="7">
        <f t="shared" si="85"/>
        <v>1</v>
      </c>
      <c r="EA52" s="123">
        <f t="shared" si="86"/>
        <v>0</v>
      </c>
      <c r="EB52" s="211">
        <f t="shared" si="87"/>
      </c>
      <c r="EC52" s="210">
        <f t="shared" si="88"/>
      </c>
      <c r="ED52" s="210" t="e">
        <f t="shared" si="89"/>
        <v>#VALUE!</v>
      </c>
      <c r="EE52" s="34"/>
      <c r="EF52" s="34"/>
      <c r="EG52" s="34"/>
      <c r="EH52" s="34"/>
      <c r="EI52" s="118">
        <f t="shared" si="90"/>
        <v>0</v>
      </c>
      <c r="EJ52" s="34"/>
      <c r="EK52" s="313">
        <f t="shared" si="91"/>
        <v>58</v>
      </c>
      <c r="EL52" s="34"/>
      <c r="EM52" s="34"/>
      <c r="EN52" s="30">
        <f t="shared" si="92"/>
      </c>
      <c r="EO52" s="30">
        <f t="shared" si="9"/>
      </c>
      <c r="EP52" s="20">
        <f t="shared" si="93"/>
      </c>
      <c r="EQ52" s="315"/>
    </row>
    <row r="53" spans="1:147" s="29" customFormat="1" ht="15" customHeight="1">
      <c r="A53" s="143"/>
      <c r="B53" s="149">
        <f t="shared" si="98"/>
        <v>127</v>
      </c>
      <c r="C53" s="26">
        <f t="shared" si="94"/>
        <v>20381231</v>
      </c>
      <c r="D53" s="26" t="str">
        <f t="shared" si="10"/>
        <v>2038</v>
      </c>
      <c r="E53" s="26" t="str">
        <f t="shared" si="11"/>
        <v>12</v>
      </c>
      <c r="F53" s="26" t="str">
        <f t="shared" si="12"/>
        <v>31</v>
      </c>
      <c r="G53" s="300">
        <f t="shared" si="13"/>
        <v>50770</v>
      </c>
      <c r="H53" s="116">
        <f t="shared" si="0"/>
        <v>37</v>
      </c>
      <c r="I53" s="116">
        <f t="shared" si="14"/>
        <v>4</v>
      </c>
      <c r="J53" s="26">
        <f t="shared" si="100"/>
        <v>30</v>
      </c>
      <c r="K53" s="117">
        <f t="shared" si="15"/>
        <v>39</v>
      </c>
      <c r="L53" s="117">
        <f t="shared" si="16"/>
        <v>3</v>
      </c>
      <c r="M53" s="117">
        <f t="shared" si="17"/>
        <v>8</v>
      </c>
      <c r="N53" s="571" t="str">
        <f t="shared" si="99"/>
        <v>127.1.1~127.12.31</v>
      </c>
      <c r="O53" s="572"/>
      <c r="P53" s="572"/>
      <c r="Q53" s="573"/>
      <c r="R53" s="390"/>
      <c r="S53" s="391">
        <f t="shared" si="18"/>
        <v>69</v>
      </c>
      <c r="T53" s="392">
        <f t="shared" si="19"/>
        <v>39</v>
      </c>
      <c r="U53" s="393">
        <f t="shared" si="20"/>
        <v>108</v>
      </c>
      <c r="V53" s="148">
        <f t="shared" si="21"/>
      </c>
      <c r="W53" s="430">
        <f t="shared" si="22"/>
      </c>
      <c r="X53" s="402"/>
      <c r="Y53" s="402"/>
      <c r="Z53" s="431"/>
      <c r="AA53" s="276">
        <f t="shared" si="23"/>
      </c>
      <c r="AB53" s="249">
        <f t="shared" si="24"/>
      </c>
      <c r="AC53" s="330">
        <f t="shared" si="25"/>
      </c>
      <c r="AD53" s="102"/>
      <c r="AE53" s="118">
        <f t="shared" si="26"/>
        <v>0</v>
      </c>
      <c r="AF53" s="118">
        <f t="shared" si="27"/>
        <v>0</v>
      </c>
      <c r="AG53" s="118">
        <f t="shared" si="28"/>
        <v>1</v>
      </c>
      <c r="AH53" s="118">
        <f>IF(OR(AE53+AF53+AG53&gt;0,SUM($AE$30:AG52)&gt;0),1,0)</f>
        <v>1</v>
      </c>
      <c r="AI53" s="118">
        <f t="shared" si="29"/>
      </c>
      <c r="AJ53" s="118">
        <f t="shared" si="30"/>
      </c>
      <c r="AK53" s="118" t="str">
        <f t="shared" si="31"/>
        <v>符合「年齡滿65歲、年資滿15年」之擇領月退休金條件</v>
      </c>
      <c r="AL53" s="118" t="str">
        <f t="shared" si="32"/>
        <v>符合「年齡滿65歲、年資滿15年」之擇領月退休金條件</v>
      </c>
      <c r="AM53" s="119">
        <f t="shared" si="33"/>
        <v>0</v>
      </c>
      <c r="AN53" s="119">
        <f t="shared" si="34"/>
        <v>1</v>
      </c>
      <c r="AO53" s="119" t="str">
        <f t="shared" si="35"/>
        <v>符合</v>
      </c>
      <c r="AP53" s="119">
        <f t="shared" si="36"/>
        <v>69</v>
      </c>
      <c r="AQ53" s="119">
        <f t="shared" si="37"/>
        <v>20381231</v>
      </c>
      <c r="AR53" s="119" t="str">
        <f t="shared" si="38"/>
        <v>127.1.1~127.12.31</v>
      </c>
      <c r="AS53" s="120">
        <f t="shared" si="39"/>
      </c>
      <c r="AT53" s="121">
        <f t="shared" si="40"/>
      </c>
      <c r="AU53" s="121">
        <f t="shared" si="41"/>
        <v>1</v>
      </c>
      <c r="AV53" s="119">
        <f t="shared" si="42"/>
      </c>
      <c r="AW53" s="122">
        <f t="shared" si="43"/>
      </c>
      <c r="AX53" s="31">
        <f t="shared" si="44"/>
        <v>0</v>
      </c>
      <c r="AY53" s="7">
        <f t="shared" si="45"/>
        <v>1</v>
      </c>
      <c r="AZ53" s="123">
        <f t="shared" si="46"/>
        <v>1</v>
      </c>
      <c r="BA53" s="123">
        <f t="shared" si="47"/>
        <v>0</v>
      </c>
      <c r="BB53" s="123">
        <f t="shared" si="48"/>
      </c>
      <c r="BC53" s="33"/>
      <c r="BD53" s="33"/>
      <c r="BE53" s="33"/>
      <c r="BF53" s="33"/>
      <c r="BG53" s="30"/>
      <c r="BH53" s="30"/>
      <c r="BI53" s="30"/>
      <c r="BJ53" s="30"/>
      <c r="BK53" s="30"/>
      <c r="BL53" s="30"/>
      <c r="BM53" s="30"/>
      <c r="BN53" s="124"/>
      <c r="BO53" s="125"/>
      <c r="BP53" s="125"/>
      <c r="BQ53" s="126"/>
      <c r="BR53" s="126"/>
      <c r="BS53" s="126"/>
      <c r="BT53" s="127">
        <v>58</v>
      </c>
      <c r="BU53" s="127"/>
      <c r="BV53" s="127"/>
      <c r="BW53" s="179">
        <f t="shared" si="101"/>
        <v>23</v>
      </c>
      <c r="BX53" s="7">
        <f t="shared" si="102"/>
        <v>9</v>
      </c>
      <c r="BY53" s="20">
        <f t="shared" si="51"/>
        <v>127</v>
      </c>
      <c r="BZ53" s="2" t="str">
        <f t="shared" si="52"/>
        <v>127.2.5</v>
      </c>
      <c r="CA53" s="181">
        <f t="shared" si="53"/>
        <v>2</v>
      </c>
      <c r="CB53" s="2">
        <f t="shared" si="103"/>
        <v>5</v>
      </c>
      <c r="CC53" s="2" t="str">
        <f t="shared" si="54"/>
        <v>127.9.28</v>
      </c>
      <c r="CD53" s="181">
        <f t="shared" si="95"/>
        <v>9</v>
      </c>
      <c r="CE53" s="2">
        <f t="shared" si="96"/>
        <v>28</v>
      </c>
      <c r="CF53" s="2" t="str">
        <f t="shared" si="104"/>
        <v>生日</v>
      </c>
      <c r="CG53" s="2" t="str">
        <f t="shared" si="105"/>
        <v>127.2.5</v>
      </c>
      <c r="CH53" s="2">
        <f t="shared" si="106"/>
        <v>2</v>
      </c>
      <c r="CI53" s="2" t="str">
        <f t="shared" si="107"/>
        <v>初任</v>
      </c>
      <c r="CJ53" s="2" t="str">
        <f t="shared" si="108"/>
        <v>127.9.28</v>
      </c>
      <c r="CK53" s="2">
        <f t="shared" si="109"/>
        <v>9</v>
      </c>
      <c r="CL53" s="2">
        <f t="shared" si="110"/>
        <v>0</v>
      </c>
      <c r="CM53" s="339">
        <f t="shared" si="62"/>
      </c>
      <c r="CN53" s="2">
        <f t="shared" si="63"/>
      </c>
      <c r="CO53" s="2">
        <f t="shared" si="64"/>
      </c>
      <c r="CP53" s="2">
        <f t="shared" si="65"/>
      </c>
      <c r="CQ53" s="2">
        <f t="shared" si="66"/>
      </c>
      <c r="CR53" s="2">
        <f t="shared" si="7"/>
      </c>
      <c r="CS53" s="128">
        <f t="shared" si="8"/>
      </c>
      <c r="CT53" s="2">
        <f t="shared" si="67"/>
      </c>
      <c r="CU53" s="2">
        <f t="shared" si="68"/>
      </c>
      <c r="CV53" s="128">
        <f t="shared" si="69"/>
      </c>
      <c r="CW53" s="2" t="str">
        <f t="shared" si="97"/>
        <v>127.1.1</v>
      </c>
      <c r="CX53" s="2">
        <f t="shared" si="70"/>
        <v>1</v>
      </c>
      <c r="CY53" s="128" t="str">
        <f t="shared" si="71"/>
        <v>127.2.1。【說明：原實際條件成就時間為127.1.1，惟因必須配合學期而延至當學期結束之次日，始能退休生效，爰推算為127.2.1】</v>
      </c>
      <c r="CZ53" s="2">
        <f t="shared" si="72"/>
      </c>
      <c r="DA53" s="2">
        <f t="shared" si="73"/>
      </c>
      <c r="DB53" s="128">
        <f t="shared" si="74"/>
      </c>
      <c r="DC53" s="2">
        <f t="shared" si="75"/>
      </c>
      <c r="DD53" s="2">
        <f t="shared" si="76"/>
      </c>
      <c r="DE53" s="128">
        <f t="shared" si="77"/>
      </c>
      <c r="DF53" s="2"/>
      <c r="DG53" s="2"/>
      <c r="DH53" s="128"/>
      <c r="DI53" s="2">
        <f t="shared" si="78"/>
      </c>
      <c r="DJ53" s="2">
        <f t="shared" si="79"/>
      </c>
      <c r="DK53" s="128">
        <f t="shared" si="80"/>
      </c>
      <c r="DL53" s="128"/>
      <c r="DM53" s="21" t="str">
        <f t="shared" si="81"/>
        <v>127.2.1。【說明：原實際條件成就時間為127.1.1，惟因必須配合學期而延至當學期結束之次日，始能退休生效，爰推算為127.2.1】</v>
      </c>
      <c r="DN53" s="2" t="str">
        <f t="shared" si="82"/>
        <v>127.1.1</v>
      </c>
      <c r="DO53" s="2"/>
      <c r="DP53" s="2"/>
      <c r="DQ53" s="2"/>
      <c r="DR53" s="2"/>
      <c r="DS53" s="2"/>
      <c r="DT53" s="2"/>
      <c r="DU53" s="2"/>
      <c r="DV53" s="10"/>
      <c r="DW53" s="2">
        <f t="shared" si="83"/>
        <v>127</v>
      </c>
      <c r="DX53" s="2">
        <f t="shared" si="84"/>
      </c>
      <c r="DY53" s="34"/>
      <c r="DZ53" s="7">
        <f t="shared" si="85"/>
        <v>1</v>
      </c>
      <c r="EA53" s="123">
        <f t="shared" si="86"/>
        <v>0</v>
      </c>
      <c r="EB53" s="211">
        <f t="shared" si="87"/>
      </c>
      <c r="EC53" s="210">
        <f t="shared" si="88"/>
      </c>
      <c r="ED53" s="210" t="e">
        <f t="shared" si="89"/>
        <v>#VALUE!</v>
      </c>
      <c r="EE53" s="34"/>
      <c r="EF53" s="34"/>
      <c r="EG53" s="34"/>
      <c r="EH53" s="34"/>
      <c r="EI53" s="118">
        <f t="shared" si="90"/>
        <v>0</v>
      </c>
      <c r="EJ53" s="34"/>
      <c r="EK53" s="313">
        <f t="shared" si="91"/>
        <v>58</v>
      </c>
      <c r="EL53" s="34"/>
      <c r="EM53" s="34"/>
      <c r="EN53" s="30">
        <f t="shared" si="92"/>
      </c>
      <c r="EO53" s="30">
        <f t="shared" si="9"/>
      </c>
      <c r="EP53" s="20">
        <f t="shared" si="93"/>
      </c>
      <c r="EQ53" s="315"/>
    </row>
    <row r="54" spans="1:147" s="29" customFormat="1" ht="15" customHeight="1">
      <c r="A54" s="143"/>
      <c r="B54" s="149">
        <f t="shared" si="98"/>
        <v>128</v>
      </c>
      <c r="C54" s="26">
        <f t="shared" si="94"/>
        <v>20391231</v>
      </c>
      <c r="D54" s="26" t="str">
        <f t="shared" si="10"/>
        <v>2039</v>
      </c>
      <c r="E54" s="26" t="str">
        <f t="shared" si="11"/>
        <v>12</v>
      </c>
      <c r="F54" s="26" t="str">
        <f t="shared" si="12"/>
        <v>31</v>
      </c>
      <c r="G54" s="300">
        <f t="shared" si="13"/>
        <v>51135</v>
      </c>
      <c r="H54" s="116">
        <f t="shared" si="0"/>
        <v>38</v>
      </c>
      <c r="I54" s="116">
        <f t="shared" si="14"/>
        <v>4</v>
      </c>
      <c r="J54" s="26">
        <f t="shared" si="100"/>
        <v>30</v>
      </c>
      <c r="K54" s="117">
        <f t="shared" si="15"/>
        <v>40</v>
      </c>
      <c r="L54" s="117">
        <f t="shared" si="16"/>
        <v>3</v>
      </c>
      <c r="M54" s="117">
        <f t="shared" si="17"/>
        <v>8</v>
      </c>
      <c r="N54" s="571" t="str">
        <f t="shared" si="99"/>
        <v>128.1.1~128.12.31</v>
      </c>
      <c r="O54" s="572"/>
      <c r="P54" s="572"/>
      <c r="Q54" s="573"/>
      <c r="R54" s="390"/>
      <c r="S54" s="391">
        <f t="shared" si="18"/>
        <v>70</v>
      </c>
      <c r="T54" s="392">
        <f t="shared" si="19"/>
        <v>40</v>
      </c>
      <c r="U54" s="393">
        <f t="shared" si="20"/>
        <v>110</v>
      </c>
      <c r="V54" s="148">
        <f t="shared" si="21"/>
      </c>
      <c r="W54" s="430">
        <f t="shared" si="22"/>
      </c>
      <c r="X54" s="402"/>
      <c r="Y54" s="402"/>
      <c r="Z54" s="431"/>
      <c r="AA54" s="276">
        <f t="shared" si="23"/>
      </c>
      <c r="AB54" s="249">
        <f t="shared" si="24"/>
      </c>
      <c r="AC54" s="330">
        <f t="shared" si="25"/>
      </c>
      <c r="AD54" s="102"/>
      <c r="AE54" s="118">
        <f t="shared" si="26"/>
        <v>0</v>
      </c>
      <c r="AF54" s="118">
        <f t="shared" si="27"/>
        <v>0</v>
      </c>
      <c r="AG54" s="118">
        <f t="shared" si="28"/>
        <v>1</v>
      </c>
      <c r="AH54" s="118">
        <f>IF(OR(AE54+AF54+AG54&gt;0,SUM($AE$30:AG53)&gt;0),1,0)</f>
        <v>1</v>
      </c>
      <c r="AI54" s="118">
        <f t="shared" si="29"/>
      </c>
      <c r="AJ54" s="118">
        <f t="shared" si="30"/>
      </c>
      <c r="AK54" s="118" t="str">
        <f t="shared" si="31"/>
        <v>符合「年齡滿65歲、年資滿15年」之擇領月退休金條件</v>
      </c>
      <c r="AL54" s="118" t="str">
        <f t="shared" si="32"/>
        <v>符合「年齡滿65歲、年資滿15年」之擇領月退休金條件</v>
      </c>
      <c r="AM54" s="119">
        <f t="shared" si="33"/>
        <v>0</v>
      </c>
      <c r="AN54" s="119">
        <f t="shared" si="34"/>
        <v>1</v>
      </c>
      <c r="AO54" s="119" t="str">
        <f t="shared" si="35"/>
        <v>符合</v>
      </c>
      <c r="AP54" s="119">
        <f t="shared" si="36"/>
        <v>70</v>
      </c>
      <c r="AQ54" s="119">
        <f t="shared" si="37"/>
        <v>20391231</v>
      </c>
      <c r="AR54" s="119" t="str">
        <f t="shared" si="38"/>
        <v>128.1.1~128.12.31</v>
      </c>
      <c r="AS54" s="120">
        <f t="shared" si="39"/>
      </c>
      <c r="AT54" s="121">
        <f t="shared" si="40"/>
      </c>
      <c r="AU54" s="121">
        <f t="shared" si="41"/>
        <v>1</v>
      </c>
      <c r="AV54" s="119">
        <f t="shared" si="42"/>
      </c>
      <c r="AW54" s="122">
        <f t="shared" si="43"/>
      </c>
      <c r="AX54" s="31">
        <f t="shared" si="44"/>
        <v>0</v>
      </c>
      <c r="AY54" s="7">
        <f t="shared" si="45"/>
        <v>1</v>
      </c>
      <c r="AZ54" s="123">
        <f t="shared" si="46"/>
        <v>1</v>
      </c>
      <c r="BA54" s="123">
        <f t="shared" si="47"/>
        <v>0</v>
      </c>
      <c r="BB54" s="123">
        <f t="shared" si="48"/>
      </c>
      <c r="BC54" s="33"/>
      <c r="BD54" s="33"/>
      <c r="BE54" s="33"/>
      <c r="BF54" s="33"/>
      <c r="BG54" s="30"/>
      <c r="BH54" s="30"/>
      <c r="BI54" s="30"/>
      <c r="BJ54" s="30"/>
      <c r="BK54" s="30"/>
      <c r="BL54" s="30"/>
      <c r="BM54" s="30"/>
      <c r="BN54" s="124"/>
      <c r="BO54" s="125"/>
      <c r="BP54" s="125"/>
      <c r="BQ54" s="126"/>
      <c r="BR54" s="126"/>
      <c r="BS54" s="126"/>
      <c r="BT54" s="127">
        <v>58</v>
      </c>
      <c r="BU54" s="127"/>
      <c r="BV54" s="127"/>
      <c r="BW54" s="179">
        <f t="shared" si="101"/>
        <v>23</v>
      </c>
      <c r="BX54" s="7">
        <f t="shared" si="102"/>
        <v>9</v>
      </c>
      <c r="BY54" s="20">
        <f t="shared" si="51"/>
        <v>128</v>
      </c>
      <c r="BZ54" s="2" t="str">
        <f t="shared" si="52"/>
        <v>128.2.5</v>
      </c>
      <c r="CA54" s="181">
        <f t="shared" si="53"/>
        <v>2</v>
      </c>
      <c r="CB54" s="2">
        <f t="shared" si="103"/>
        <v>5</v>
      </c>
      <c r="CC54" s="2" t="str">
        <f t="shared" si="54"/>
        <v>128.9.28</v>
      </c>
      <c r="CD54" s="181">
        <f t="shared" si="95"/>
        <v>9</v>
      </c>
      <c r="CE54" s="2">
        <f t="shared" si="96"/>
        <v>28</v>
      </c>
      <c r="CF54" s="2" t="str">
        <f t="shared" si="104"/>
        <v>生日</v>
      </c>
      <c r="CG54" s="2" t="str">
        <f t="shared" si="105"/>
        <v>128.2.5</v>
      </c>
      <c r="CH54" s="2">
        <f t="shared" si="106"/>
        <v>2</v>
      </c>
      <c r="CI54" s="2" t="str">
        <f t="shared" si="107"/>
        <v>初任</v>
      </c>
      <c r="CJ54" s="2" t="str">
        <f t="shared" si="108"/>
        <v>128.9.28</v>
      </c>
      <c r="CK54" s="2">
        <f t="shared" si="109"/>
        <v>9</v>
      </c>
      <c r="CL54" s="2">
        <f t="shared" si="110"/>
        <v>0</v>
      </c>
      <c r="CM54" s="339">
        <f t="shared" si="62"/>
      </c>
      <c r="CN54" s="2">
        <f t="shared" si="63"/>
      </c>
      <c r="CO54" s="2">
        <f t="shared" si="64"/>
      </c>
      <c r="CP54" s="2">
        <f t="shared" si="65"/>
      </c>
      <c r="CQ54" s="2">
        <f t="shared" si="66"/>
      </c>
      <c r="CR54" s="2">
        <f t="shared" si="7"/>
      </c>
      <c r="CS54" s="128">
        <f t="shared" si="8"/>
      </c>
      <c r="CT54" s="2">
        <f t="shared" si="67"/>
      </c>
      <c r="CU54" s="2">
        <f t="shared" si="68"/>
      </c>
      <c r="CV54" s="128">
        <f t="shared" si="69"/>
      </c>
      <c r="CW54" s="2" t="str">
        <f t="shared" si="97"/>
        <v>128.1.1</v>
      </c>
      <c r="CX54" s="2">
        <f t="shared" si="70"/>
        <v>1</v>
      </c>
      <c r="CY54" s="128" t="str">
        <f t="shared" si="71"/>
        <v>128.2.1。【說明：原實際條件成就時間為128.1.1，惟因必須配合學期而延至當學期結束之次日，始能退休生效，爰推算為128.2.1】</v>
      </c>
      <c r="CZ54" s="2">
        <f t="shared" si="72"/>
      </c>
      <c r="DA54" s="2">
        <f t="shared" si="73"/>
      </c>
      <c r="DB54" s="128">
        <f t="shared" si="74"/>
      </c>
      <c r="DC54" s="2">
        <f t="shared" si="75"/>
      </c>
      <c r="DD54" s="2">
        <f t="shared" si="76"/>
      </c>
      <c r="DE54" s="128">
        <f t="shared" si="77"/>
      </c>
      <c r="DF54" s="2"/>
      <c r="DG54" s="2"/>
      <c r="DH54" s="128"/>
      <c r="DI54" s="2">
        <f t="shared" si="78"/>
      </c>
      <c r="DJ54" s="2">
        <f t="shared" si="79"/>
      </c>
      <c r="DK54" s="128">
        <f t="shared" si="80"/>
      </c>
      <c r="DL54" s="128"/>
      <c r="DM54" s="21" t="str">
        <f t="shared" si="81"/>
        <v>128.2.1。【說明：原實際條件成就時間為128.1.1，惟因必須配合學期而延至當學期結束之次日，始能退休生效，爰推算為128.2.1】</v>
      </c>
      <c r="DN54" s="2" t="str">
        <f t="shared" si="82"/>
        <v>128.1.1</v>
      </c>
      <c r="DO54" s="2"/>
      <c r="DP54" s="2"/>
      <c r="DQ54" s="2"/>
      <c r="DR54" s="2"/>
      <c r="DS54" s="2"/>
      <c r="DT54" s="2"/>
      <c r="DU54" s="2"/>
      <c r="DV54" s="10"/>
      <c r="DW54" s="2">
        <f t="shared" si="83"/>
        <v>128</v>
      </c>
      <c r="DX54" s="2">
        <f t="shared" si="84"/>
      </c>
      <c r="DY54" s="34"/>
      <c r="DZ54" s="7">
        <f t="shared" si="85"/>
        <v>1</v>
      </c>
      <c r="EA54" s="123">
        <f t="shared" si="86"/>
        <v>0</v>
      </c>
      <c r="EB54" s="211">
        <f t="shared" si="87"/>
      </c>
      <c r="EC54" s="210">
        <f t="shared" si="88"/>
      </c>
      <c r="ED54" s="210" t="e">
        <f t="shared" si="89"/>
        <v>#VALUE!</v>
      </c>
      <c r="EE54" s="34"/>
      <c r="EF54" s="34"/>
      <c r="EG54" s="34"/>
      <c r="EH54" s="34"/>
      <c r="EI54" s="118">
        <f t="shared" si="90"/>
        <v>0</v>
      </c>
      <c r="EJ54" s="34"/>
      <c r="EK54" s="313">
        <f t="shared" si="91"/>
        <v>58</v>
      </c>
      <c r="EL54" s="34"/>
      <c r="EM54" s="34"/>
      <c r="EN54" s="30">
        <f t="shared" si="92"/>
      </c>
      <c r="EO54" s="30">
        <f t="shared" si="9"/>
      </c>
      <c r="EP54" s="20">
        <f t="shared" si="93"/>
      </c>
      <c r="EQ54" s="315"/>
    </row>
    <row r="55" spans="1:147" s="29" customFormat="1" ht="15" customHeight="1">
      <c r="A55" s="143"/>
      <c r="B55" s="149">
        <f t="shared" si="98"/>
        <v>129</v>
      </c>
      <c r="C55" s="26">
        <f t="shared" si="94"/>
        <v>20401231</v>
      </c>
      <c r="D55" s="26" t="str">
        <f t="shared" si="10"/>
        <v>2040</v>
      </c>
      <c r="E55" s="26" t="str">
        <f t="shared" si="11"/>
        <v>12</v>
      </c>
      <c r="F55" s="26" t="str">
        <f t="shared" si="12"/>
        <v>31</v>
      </c>
      <c r="G55" s="300">
        <f t="shared" si="13"/>
        <v>51501</v>
      </c>
      <c r="H55" s="116">
        <f t="shared" si="0"/>
        <v>39</v>
      </c>
      <c r="I55" s="116">
        <f t="shared" si="14"/>
        <v>4</v>
      </c>
      <c r="J55" s="26">
        <f aca="true" t="shared" si="111" ref="J55:J95">IF(BC47=1,"*",IF(G55=DATE(YEAR(G55),MONTH(G55)+1,1)-1,IF($Z$8=DATE(YEAR($Z$8),MONTH($Z$8)+1,1)-1,0,DAY(DATE(YEAR($Z$8),MONTH($Z$8)+1,1)-1)-DAY($Z$8)),IF(DAY(G55)&gt;=DAY($Z$8),DAY(G55)-DAY($Z$8),DATE(YEAR($Z$8),MONTH($Z$8)+1,1)-1-$Z$8+DAY(G55))))</f>
        <v>30</v>
      </c>
      <c r="K55" s="117">
        <f t="shared" si="15"/>
        <v>41</v>
      </c>
      <c r="L55" s="117">
        <f t="shared" si="16"/>
        <v>3</v>
      </c>
      <c r="M55" s="117">
        <f t="shared" si="17"/>
        <v>8</v>
      </c>
      <c r="N55" s="571" t="str">
        <f t="shared" si="99"/>
        <v>129.1.1~129.12.31</v>
      </c>
      <c r="O55" s="572"/>
      <c r="P55" s="572"/>
      <c r="Q55" s="573"/>
      <c r="R55" s="390"/>
      <c r="S55" s="391">
        <f t="shared" si="18"/>
        <v>71</v>
      </c>
      <c r="T55" s="392">
        <f t="shared" si="19"/>
        <v>41</v>
      </c>
      <c r="U55" s="393">
        <f t="shared" si="20"/>
        <v>112</v>
      </c>
      <c r="V55" s="148">
        <f t="shared" si="21"/>
      </c>
      <c r="W55" s="430">
        <f t="shared" si="22"/>
      </c>
      <c r="X55" s="402"/>
      <c r="Y55" s="402"/>
      <c r="Z55" s="431"/>
      <c r="AA55" s="276">
        <f t="shared" si="23"/>
      </c>
      <c r="AB55" s="249">
        <f t="shared" si="24"/>
      </c>
      <c r="AC55" s="330">
        <f t="shared" si="25"/>
      </c>
      <c r="AD55" s="102"/>
      <c r="AE55" s="118">
        <f t="shared" si="26"/>
        <v>0</v>
      </c>
      <c r="AF55" s="118">
        <f t="shared" si="27"/>
        <v>0</v>
      </c>
      <c r="AG55" s="118">
        <f t="shared" si="28"/>
        <v>1</v>
      </c>
      <c r="AH55" s="118">
        <f>IF(OR(AE55+AF55+AG55&gt;0,SUM($AE$30:AG54)&gt;0),1,0)</f>
        <v>1</v>
      </c>
      <c r="AI55" s="118">
        <f t="shared" si="29"/>
      </c>
      <c r="AJ55" s="118">
        <f t="shared" si="30"/>
      </c>
      <c r="AK55" s="118" t="str">
        <f t="shared" si="31"/>
        <v>符合「年齡滿65歲、年資滿15年」之擇領月退休金條件</v>
      </c>
      <c r="AL55" s="118" t="str">
        <f t="shared" si="32"/>
        <v>符合「年齡滿65歲、年資滿15年」之擇領月退休金條件</v>
      </c>
      <c r="AM55" s="119">
        <f t="shared" si="33"/>
        <v>0</v>
      </c>
      <c r="AN55" s="119">
        <f t="shared" si="34"/>
        <v>1</v>
      </c>
      <c r="AO55" s="119" t="str">
        <f t="shared" si="35"/>
        <v>符合</v>
      </c>
      <c r="AP55" s="119">
        <f t="shared" si="36"/>
        <v>71</v>
      </c>
      <c r="AQ55" s="119">
        <f t="shared" si="37"/>
        <v>20401231</v>
      </c>
      <c r="AR55" s="119" t="str">
        <f t="shared" si="38"/>
        <v>129.1.1~129.12.31</v>
      </c>
      <c r="AS55" s="120">
        <f t="shared" si="39"/>
      </c>
      <c r="AT55" s="121">
        <f t="shared" si="40"/>
      </c>
      <c r="AU55" s="121">
        <f t="shared" si="41"/>
        <v>1</v>
      </c>
      <c r="AV55" s="119">
        <f t="shared" si="42"/>
      </c>
      <c r="AW55" s="122">
        <f t="shared" si="43"/>
      </c>
      <c r="AX55" s="31">
        <f t="shared" si="44"/>
        <v>0</v>
      </c>
      <c r="AY55" s="7">
        <f t="shared" si="45"/>
        <v>1</v>
      </c>
      <c r="AZ55" s="123">
        <f t="shared" si="46"/>
        <v>1</v>
      </c>
      <c r="BA55" s="123">
        <f t="shared" si="47"/>
        <v>0</v>
      </c>
      <c r="BB55" s="123">
        <f t="shared" si="48"/>
      </c>
      <c r="BC55" s="33"/>
      <c r="BD55" s="33"/>
      <c r="BE55" s="33"/>
      <c r="BF55" s="33"/>
      <c r="BG55" s="30"/>
      <c r="BH55" s="30"/>
      <c r="BI55" s="30"/>
      <c r="BJ55" s="30"/>
      <c r="BK55" s="30"/>
      <c r="BL55" s="30"/>
      <c r="BM55" s="30"/>
      <c r="BN55" s="124"/>
      <c r="BO55" s="125"/>
      <c r="BP55" s="125"/>
      <c r="BQ55" s="126"/>
      <c r="BR55" s="126"/>
      <c r="BS55" s="126"/>
      <c r="BT55" s="127">
        <v>58</v>
      </c>
      <c r="BU55" s="127"/>
      <c r="BV55" s="127"/>
      <c r="BW55" s="179">
        <f t="shared" si="101"/>
        <v>23</v>
      </c>
      <c r="BX55" s="7">
        <f t="shared" si="102"/>
        <v>9</v>
      </c>
      <c r="BY55" s="20">
        <f t="shared" si="51"/>
        <v>129</v>
      </c>
      <c r="BZ55" s="2" t="str">
        <f t="shared" si="52"/>
        <v>129.2.5</v>
      </c>
      <c r="CA55" s="181">
        <f t="shared" si="53"/>
        <v>2</v>
      </c>
      <c r="CB55" s="2">
        <f t="shared" si="103"/>
        <v>5</v>
      </c>
      <c r="CC55" s="2" t="str">
        <f t="shared" si="54"/>
        <v>129.9.28</v>
      </c>
      <c r="CD55" s="181">
        <f t="shared" si="95"/>
        <v>9</v>
      </c>
      <c r="CE55" s="2">
        <f t="shared" si="96"/>
        <v>28</v>
      </c>
      <c r="CF55" s="2" t="str">
        <f t="shared" si="104"/>
        <v>生日</v>
      </c>
      <c r="CG55" s="2" t="str">
        <f t="shared" si="105"/>
        <v>129.2.5</v>
      </c>
      <c r="CH55" s="2">
        <f t="shared" si="106"/>
        <v>2</v>
      </c>
      <c r="CI55" s="2" t="str">
        <f t="shared" si="107"/>
        <v>初任</v>
      </c>
      <c r="CJ55" s="2" t="str">
        <f t="shared" si="108"/>
        <v>129.9.28</v>
      </c>
      <c r="CK55" s="2">
        <f t="shared" si="109"/>
        <v>9</v>
      </c>
      <c r="CL55" s="2">
        <f t="shared" si="110"/>
        <v>0</v>
      </c>
      <c r="CM55" s="339">
        <f t="shared" si="62"/>
      </c>
      <c r="CN55" s="2">
        <f t="shared" si="63"/>
      </c>
      <c r="CO55" s="2">
        <f t="shared" si="64"/>
      </c>
      <c r="CP55" s="2">
        <f t="shared" si="65"/>
      </c>
      <c r="CQ55" s="2">
        <f t="shared" si="66"/>
      </c>
      <c r="CR55" s="2">
        <f t="shared" si="7"/>
      </c>
      <c r="CS55" s="128">
        <f t="shared" si="8"/>
      </c>
      <c r="CT55" s="2">
        <f t="shared" si="67"/>
      </c>
      <c r="CU55" s="2">
        <f t="shared" si="68"/>
      </c>
      <c r="CV55" s="128">
        <f t="shared" si="69"/>
      </c>
      <c r="CW55" s="2" t="str">
        <f t="shared" si="97"/>
        <v>129.1.1</v>
      </c>
      <c r="CX55" s="2">
        <f t="shared" si="70"/>
        <v>1</v>
      </c>
      <c r="CY55" s="128" t="str">
        <f t="shared" si="71"/>
        <v>129.2.1。【說明：原實際條件成就時間為129.1.1，惟因必須配合學期而延至當學期結束之次日，始能退休生效，爰推算為129.2.1】</v>
      </c>
      <c r="CZ55" s="2">
        <f t="shared" si="72"/>
      </c>
      <c r="DA55" s="2">
        <f t="shared" si="73"/>
      </c>
      <c r="DB55" s="128">
        <f t="shared" si="74"/>
      </c>
      <c r="DC55" s="2">
        <f t="shared" si="75"/>
      </c>
      <c r="DD55" s="2">
        <f t="shared" si="76"/>
      </c>
      <c r="DE55" s="128">
        <f t="shared" si="77"/>
      </c>
      <c r="DF55" s="2"/>
      <c r="DG55" s="2"/>
      <c r="DH55" s="128"/>
      <c r="DI55" s="2">
        <f t="shared" si="78"/>
      </c>
      <c r="DJ55" s="2">
        <f t="shared" si="79"/>
      </c>
      <c r="DK55" s="128">
        <f t="shared" si="80"/>
      </c>
      <c r="DL55" s="128"/>
      <c r="DM55" s="21" t="str">
        <f t="shared" si="81"/>
        <v>129.2.1。【說明：原實際條件成就時間為129.1.1，惟因必須配合學期而延至當學期結束之次日，始能退休生效，爰推算為129.2.1】</v>
      </c>
      <c r="DN55" s="2" t="str">
        <f t="shared" si="82"/>
        <v>129.1.1</v>
      </c>
      <c r="DO55" s="2"/>
      <c r="DP55" s="2"/>
      <c r="DQ55" s="2"/>
      <c r="DR55" s="2"/>
      <c r="DS55" s="2"/>
      <c r="DT55" s="2"/>
      <c r="DU55" s="2"/>
      <c r="DV55" s="10"/>
      <c r="DW55" s="2">
        <f t="shared" si="83"/>
        <v>129</v>
      </c>
      <c r="DX55" s="2">
        <f t="shared" si="84"/>
      </c>
      <c r="DY55" s="34"/>
      <c r="DZ55" s="7">
        <f t="shared" si="85"/>
        <v>1</v>
      </c>
      <c r="EA55" s="123">
        <f t="shared" si="86"/>
        <v>0</v>
      </c>
      <c r="EB55" s="211">
        <f t="shared" si="87"/>
      </c>
      <c r="EC55" s="210">
        <f t="shared" si="88"/>
      </c>
      <c r="ED55" s="210" t="e">
        <f t="shared" si="89"/>
        <v>#VALUE!</v>
      </c>
      <c r="EE55" s="34"/>
      <c r="EF55" s="34"/>
      <c r="EG55" s="34"/>
      <c r="EH55" s="34"/>
      <c r="EI55" s="118">
        <f t="shared" si="90"/>
        <v>0</v>
      </c>
      <c r="EJ55" s="34"/>
      <c r="EK55" s="313">
        <f t="shared" si="91"/>
        <v>58</v>
      </c>
      <c r="EL55" s="34"/>
      <c r="EM55" s="34"/>
      <c r="EN55" s="30">
        <f t="shared" si="92"/>
      </c>
      <c r="EO55" s="30">
        <f t="shared" si="9"/>
      </c>
      <c r="EP55" s="20">
        <f t="shared" si="93"/>
      </c>
      <c r="EQ55" s="315"/>
    </row>
    <row r="56" spans="1:147" s="29" customFormat="1" ht="15" customHeight="1">
      <c r="A56" s="143"/>
      <c r="B56" s="149">
        <f t="shared" si="98"/>
        <v>130</v>
      </c>
      <c r="C56" s="26">
        <f t="shared" si="94"/>
        <v>20411231</v>
      </c>
      <c r="D56" s="26" t="str">
        <f t="shared" si="10"/>
        <v>2041</v>
      </c>
      <c r="E56" s="26" t="str">
        <f t="shared" si="11"/>
        <v>12</v>
      </c>
      <c r="F56" s="26" t="str">
        <f t="shared" si="12"/>
        <v>31</v>
      </c>
      <c r="G56" s="300">
        <f t="shared" si="13"/>
        <v>51866</v>
      </c>
      <c r="H56" s="116">
        <f t="shared" si="0"/>
        <v>40</v>
      </c>
      <c r="I56" s="116">
        <f t="shared" si="14"/>
        <v>4</v>
      </c>
      <c r="J56" s="26">
        <f t="shared" si="111"/>
        <v>30</v>
      </c>
      <c r="K56" s="117">
        <f t="shared" si="15"/>
        <v>42</v>
      </c>
      <c r="L56" s="117">
        <f t="shared" si="16"/>
        <v>3</v>
      </c>
      <c r="M56" s="117">
        <f t="shared" si="17"/>
        <v>8</v>
      </c>
      <c r="N56" s="571" t="str">
        <f t="shared" si="99"/>
        <v>130.1.1~130.12.31</v>
      </c>
      <c r="O56" s="572"/>
      <c r="P56" s="572"/>
      <c r="Q56" s="573"/>
      <c r="R56" s="390"/>
      <c r="S56" s="391">
        <f t="shared" si="18"/>
        <v>72</v>
      </c>
      <c r="T56" s="392">
        <f t="shared" si="19"/>
        <v>42</v>
      </c>
      <c r="U56" s="393">
        <f t="shared" si="20"/>
        <v>114</v>
      </c>
      <c r="V56" s="148">
        <f t="shared" si="21"/>
      </c>
      <c r="W56" s="430">
        <f t="shared" si="22"/>
      </c>
      <c r="X56" s="402"/>
      <c r="Y56" s="402"/>
      <c r="Z56" s="431"/>
      <c r="AA56" s="276">
        <f t="shared" si="23"/>
      </c>
      <c r="AB56" s="249">
        <f t="shared" si="24"/>
      </c>
      <c r="AC56" s="330">
        <f t="shared" si="25"/>
      </c>
      <c r="AD56" s="102"/>
      <c r="AE56" s="118">
        <f t="shared" si="26"/>
        <v>0</v>
      </c>
      <c r="AF56" s="118">
        <f t="shared" si="27"/>
        <v>0</v>
      </c>
      <c r="AG56" s="118">
        <f t="shared" si="28"/>
        <v>1</v>
      </c>
      <c r="AH56" s="118">
        <f>IF(OR(AE56+AF56+AG56&gt;0,SUM($AE$30:AG55)&gt;0),1,0)</f>
        <v>1</v>
      </c>
      <c r="AI56" s="118">
        <f t="shared" si="29"/>
      </c>
      <c r="AJ56" s="118">
        <f t="shared" si="30"/>
      </c>
      <c r="AK56" s="118" t="str">
        <f t="shared" si="31"/>
        <v>符合「年齡滿65歲、年資滿15年」之擇領月退休金條件</v>
      </c>
      <c r="AL56" s="118" t="str">
        <f t="shared" si="32"/>
        <v>符合「年齡滿65歲、年資滿15年」之擇領月退休金條件</v>
      </c>
      <c r="AM56" s="119">
        <f t="shared" si="33"/>
        <v>0</v>
      </c>
      <c r="AN56" s="119">
        <f t="shared" si="34"/>
        <v>1</v>
      </c>
      <c r="AO56" s="119" t="str">
        <f t="shared" si="35"/>
        <v>符合</v>
      </c>
      <c r="AP56" s="119">
        <f t="shared" si="36"/>
        <v>72</v>
      </c>
      <c r="AQ56" s="119">
        <f t="shared" si="37"/>
        <v>20411231</v>
      </c>
      <c r="AR56" s="119" t="str">
        <f t="shared" si="38"/>
        <v>130.1.1~130.12.31</v>
      </c>
      <c r="AS56" s="120">
        <f t="shared" si="39"/>
      </c>
      <c r="AT56" s="121">
        <f t="shared" si="40"/>
      </c>
      <c r="AU56" s="121">
        <f t="shared" si="41"/>
        <v>1</v>
      </c>
      <c r="AV56" s="119">
        <f t="shared" si="42"/>
      </c>
      <c r="AW56" s="122">
        <f t="shared" si="43"/>
      </c>
      <c r="AX56" s="31">
        <f t="shared" si="44"/>
        <v>0</v>
      </c>
      <c r="AY56" s="7">
        <f t="shared" si="45"/>
        <v>1</v>
      </c>
      <c r="AZ56" s="123">
        <f t="shared" si="46"/>
        <v>1</v>
      </c>
      <c r="BA56" s="123">
        <f t="shared" si="47"/>
        <v>0</v>
      </c>
      <c r="BB56" s="123">
        <f t="shared" si="48"/>
      </c>
      <c r="BC56" s="33"/>
      <c r="BD56" s="33"/>
      <c r="BE56" s="33"/>
      <c r="BF56" s="33"/>
      <c r="BG56" s="30"/>
      <c r="BH56" s="30"/>
      <c r="BI56" s="30"/>
      <c r="BJ56" s="30"/>
      <c r="BK56" s="30"/>
      <c r="BL56" s="30"/>
      <c r="BM56" s="30"/>
      <c r="BN56" s="124"/>
      <c r="BO56" s="125"/>
      <c r="BP56" s="125"/>
      <c r="BQ56" s="126"/>
      <c r="BR56" s="126"/>
      <c r="BS56" s="126"/>
      <c r="BT56" s="127">
        <v>58</v>
      </c>
      <c r="BU56" s="127"/>
      <c r="BV56" s="127"/>
      <c r="BW56" s="179">
        <f t="shared" si="101"/>
        <v>23</v>
      </c>
      <c r="BX56" s="7">
        <f t="shared" si="102"/>
        <v>9</v>
      </c>
      <c r="BY56" s="20">
        <f t="shared" si="51"/>
        <v>130</v>
      </c>
      <c r="BZ56" s="2" t="str">
        <f t="shared" si="52"/>
        <v>130.2.5</v>
      </c>
      <c r="CA56" s="181">
        <f t="shared" si="53"/>
        <v>2</v>
      </c>
      <c r="CB56" s="2">
        <f t="shared" si="103"/>
        <v>5</v>
      </c>
      <c r="CC56" s="2" t="str">
        <f t="shared" si="54"/>
        <v>130.9.28</v>
      </c>
      <c r="CD56" s="181">
        <f t="shared" si="95"/>
        <v>9</v>
      </c>
      <c r="CE56" s="2">
        <f t="shared" si="96"/>
        <v>28</v>
      </c>
      <c r="CF56" s="2" t="str">
        <f t="shared" si="104"/>
        <v>生日</v>
      </c>
      <c r="CG56" s="2" t="str">
        <f t="shared" si="105"/>
        <v>130.2.5</v>
      </c>
      <c r="CH56" s="2">
        <f t="shared" si="106"/>
        <v>2</v>
      </c>
      <c r="CI56" s="2" t="str">
        <f t="shared" si="107"/>
        <v>初任</v>
      </c>
      <c r="CJ56" s="2" t="str">
        <f t="shared" si="108"/>
        <v>130.9.28</v>
      </c>
      <c r="CK56" s="2">
        <f t="shared" si="109"/>
        <v>9</v>
      </c>
      <c r="CL56" s="2">
        <f t="shared" si="110"/>
        <v>0</v>
      </c>
      <c r="CM56" s="339">
        <f t="shared" si="62"/>
      </c>
      <c r="CN56" s="2">
        <f t="shared" si="63"/>
      </c>
      <c r="CO56" s="2">
        <f t="shared" si="64"/>
      </c>
      <c r="CP56" s="2">
        <f t="shared" si="65"/>
      </c>
      <c r="CQ56" s="2">
        <f t="shared" si="66"/>
      </c>
      <c r="CR56" s="2">
        <f t="shared" si="7"/>
      </c>
      <c r="CS56" s="128">
        <f t="shared" si="8"/>
      </c>
      <c r="CT56" s="2">
        <f t="shared" si="67"/>
      </c>
      <c r="CU56" s="2">
        <f t="shared" si="68"/>
      </c>
      <c r="CV56" s="128">
        <f t="shared" si="69"/>
      </c>
      <c r="CW56" s="2" t="str">
        <f t="shared" si="97"/>
        <v>130.1.1</v>
      </c>
      <c r="CX56" s="2">
        <f t="shared" si="70"/>
        <v>1</v>
      </c>
      <c r="CY56" s="128" t="str">
        <f t="shared" si="71"/>
        <v>130.2.1。【說明：原實際條件成就時間為130.1.1，惟因必須配合學期而延至當學期結束之次日，始能退休生效，爰推算為130.2.1】</v>
      </c>
      <c r="CZ56" s="2">
        <f t="shared" si="72"/>
      </c>
      <c r="DA56" s="2">
        <f t="shared" si="73"/>
      </c>
      <c r="DB56" s="128">
        <f t="shared" si="74"/>
      </c>
      <c r="DC56" s="2">
        <f t="shared" si="75"/>
      </c>
      <c r="DD56" s="2">
        <f t="shared" si="76"/>
      </c>
      <c r="DE56" s="128">
        <f t="shared" si="77"/>
      </c>
      <c r="DF56" s="2"/>
      <c r="DG56" s="2"/>
      <c r="DH56" s="128"/>
      <c r="DI56" s="2">
        <f t="shared" si="78"/>
      </c>
      <c r="DJ56" s="2">
        <f t="shared" si="79"/>
      </c>
      <c r="DK56" s="128">
        <f t="shared" si="80"/>
      </c>
      <c r="DL56" s="128"/>
      <c r="DM56" s="21" t="str">
        <f t="shared" si="81"/>
        <v>130.2.1。【說明：原實際條件成就時間為130.1.1，惟因必須配合學期而延至當學期結束之次日，始能退休生效，爰推算為130.2.1】</v>
      </c>
      <c r="DN56" s="2" t="str">
        <f t="shared" si="82"/>
        <v>130.1.1</v>
      </c>
      <c r="DO56" s="2"/>
      <c r="DP56" s="2"/>
      <c r="DQ56" s="2"/>
      <c r="DR56" s="2"/>
      <c r="DS56" s="2"/>
      <c r="DT56" s="2"/>
      <c r="DU56" s="2"/>
      <c r="DV56" s="10"/>
      <c r="DW56" s="2">
        <f t="shared" si="83"/>
        <v>130</v>
      </c>
      <c r="DX56" s="2">
        <f t="shared" si="84"/>
      </c>
      <c r="DY56" s="34"/>
      <c r="DZ56" s="7">
        <f t="shared" si="85"/>
        <v>1</v>
      </c>
      <c r="EA56" s="123">
        <f t="shared" si="86"/>
        <v>0</v>
      </c>
      <c r="EB56" s="211">
        <f t="shared" si="87"/>
      </c>
      <c r="EC56" s="210">
        <f t="shared" si="88"/>
      </c>
      <c r="ED56" s="210" t="e">
        <f t="shared" si="89"/>
        <v>#VALUE!</v>
      </c>
      <c r="EE56" s="34"/>
      <c r="EF56" s="34"/>
      <c r="EG56" s="34"/>
      <c r="EH56" s="34"/>
      <c r="EI56" s="118">
        <f t="shared" si="90"/>
        <v>0</v>
      </c>
      <c r="EJ56" s="34"/>
      <c r="EK56" s="313">
        <f t="shared" si="91"/>
        <v>58</v>
      </c>
      <c r="EL56" s="34"/>
      <c r="EM56" s="34"/>
      <c r="EN56" s="30">
        <f t="shared" si="92"/>
      </c>
      <c r="EO56" s="30">
        <f t="shared" si="9"/>
      </c>
      <c r="EP56" s="20">
        <f t="shared" si="93"/>
      </c>
      <c r="EQ56" s="315"/>
    </row>
    <row r="57" spans="1:147" s="29" customFormat="1" ht="15" customHeight="1">
      <c r="A57" s="143"/>
      <c r="B57" s="149">
        <f t="shared" si="98"/>
        <v>131</v>
      </c>
      <c r="C57" s="26">
        <f t="shared" si="94"/>
        <v>20421231</v>
      </c>
      <c r="D57" s="26" t="str">
        <f t="shared" si="10"/>
        <v>2042</v>
      </c>
      <c r="E57" s="26" t="str">
        <f t="shared" si="11"/>
        <v>12</v>
      </c>
      <c r="F57" s="26" t="str">
        <f t="shared" si="12"/>
        <v>31</v>
      </c>
      <c r="G57" s="300">
        <f t="shared" si="13"/>
        <v>52231</v>
      </c>
      <c r="H57" s="116">
        <f t="shared" si="0"/>
        <v>41</v>
      </c>
      <c r="I57" s="116">
        <f t="shared" si="14"/>
        <v>4</v>
      </c>
      <c r="J57" s="26">
        <f t="shared" si="111"/>
        <v>30</v>
      </c>
      <c r="K57" s="117">
        <f t="shared" si="15"/>
        <v>43</v>
      </c>
      <c r="L57" s="117">
        <f t="shared" si="16"/>
        <v>3</v>
      </c>
      <c r="M57" s="117">
        <f t="shared" si="17"/>
        <v>8</v>
      </c>
      <c r="N57" s="571" t="str">
        <f t="shared" si="99"/>
        <v>131.1.1~131.12.31</v>
      </c>
      <c r="O57" s="572"/>
      <c r="P57" s="572"/>
      <c r="Q57" s="573"/>
      <c r="R57" s="390"/>
      <c r="S57" s="391">
        <f t="shared" si="18"/>
        <v>73</v>
      </c>
      <c r="T57" s="392">
        <f t="shared" si="19"/>
        <v>43</v>
      </c>
      <c r="U57" s="393">
        <f t="shared" si="20"/>
        <v>116</v>
      </c>
      <c r="V57" s="148">
        <f t="shared" si="21"/>
      </c>
      <c r="W57" s="430">
        <f t="shared" si="22"/>
      </c>
      <c r="X57" s="402"/>
      <c r="Y57" s="402"/>
      <c r="Z57" s="431"/>
      <c r="AA57" s="276">
        <f t="shared" si="23"/>
      </c>
      <c r="AB57" s="249">
        <f t="shared" si="24"/>
      </c>
      <c r="AC57" s="330">
        <f t="shared" si="25"/>
      </c>
      <c r="AD57" s="102"/>
      <c r="AE57" s="118">
        <f t="shared" si="26"/>
        <v>0</v>
      </c>
      <c r="AF57" s="118">
        <f t="shared" si="27"/>
        <v>0</v>
      </c>
      <c r="AG57" s="118">
        <f t="shared" si="28"/>
        <v>1</v>
      </c>
      <c r="AH57" s="118">
        <f>IF(OR(AE57+AF57+AG57&gt;0,SUM($AE$30:AG56)&gt;0),1,0)</f>
        <v>1</v>
      </c>
      <c r="AI57" s="118">
        <f t="shared" si="29"/>
      </c>
      <c r="AJ57" s="118">
        <f t="shared" si="30"/>
      </c>
      <c r="AK57" s="118" t="str">
        <f t="shared" si="31"/>
        <v>符合「年齡滿65歲、年資滿15年」之擇領月退休金條件</v>
      </c>
      <c r="AL57" s="118" t="str">
        <f t="shared" si="32"/>
        <v>符合「年齡滿65歲、年資滿15年」之擇領月退休金條件</v>
      </c>
      <c r="AM57" s="119">
        <f t="shared" si="33"/>
        <v>0</v>
      </c>
      <c r="AN57" s="119">
        <f t="shared" si="34"/>
        <v>1</v>
      </c>
      <c r="AO57" s="119" t="str">
        <f t="shared" si="35"/>
        <v>符合</v>
      </c>
      <c r="AP57" s="119">
        <f t="shared" si="36"/>
        <v>73</v>
      </c>
      <c r="AQ57" s="119">
        <f t="shared" si="37"/>
        <v>20421231</v>
      </c>
      <c r="AR57" s="119" t="str">
        <f t="shared" si="38"/>
        <v>131.1.1~131.12.31</v>
      </c>
      <c r="AS57" s="120">
        <f t="shared" si="39"/>
      </c>
      <c r="AT57" s="121">
        <f t="shared" si="40"/>
      </c>
      <c r="AU57" s="121">
        <f t="shared" si="41"/>
        <v>1</v>
      </c>
      <c r="AV57" s="119">
        <f t="shared" si="42"/>
      </c>
      <c r="AW57" s="122">
        <f t="shared" si="43"/>
      </c>
      <c r="AX57" s="31">
        <f t="shared" si="44"/>
        <v>0</v>
      </c>
      <c r="AY57" s="7">
        <f t="shared" si="45"/>
        <v>1</v>
      </c>
      <c r="AZ57" s="123">
        <f t="shared" si="46"/>
        <v>1</v>
      </c>
      <c r="BA57" s="123">
        <f t="shared" si="47"/>
        <v>0</v>
      </c>
      <c r="BB57" s="123">
        <f t="shared" si="48"/>
      </c>
      <c r="BC57" s="33"/>
      <c r="BD57" s="33"/>
      <c r="BE57" s="33"/>
      <c r="BF57" s="33"/>
      <c r="BG57" s="30"/>
      <c r="BH57" s="30"/>
      <c r="BI57" s="30"/>
      <c r="BJ57" s="30"/>
      <c r="BK57" s="30"/>
      <c r="BL57" s="30"/>
      <c r="BM57" s="30"/>
      <c r="BN57" s="124"/>
      <c r="BO57" s="125"/>
      <c r="BP57" s="125"/>
      <c r="BQ57" s="126"/>
      <c r="BR57" s="126"/>
      <c r="BS57" s="126"/>
      <c r="BT57" s="127">
        <v>58</v>
      </c>
      <c r="BU57" s="127"/>
      <c r="BV57" s="127"/>
      <c r="BW57" s="179">
        <f t="shared" si="101"/>
        <v>23</v>
      </c>
      <c r="BX57" s="7">
        <f t="shared" si="102"/>
        <v>9</v>
      </c>
      <c r="BY57" s="20">
        <f t="shared" si="51"/>
        <v>131</v>
      </c>
      <c r="BZ57" s="2" t="str">
        <f t="shared" si="52"/>
        <v>131.2.5</v>
      </c>
      <c r="CA57" s="181">
        <f t="shared" si="53"/>
        <v>2</v>
      </c>
      <c r="CB57" s="2">
        <f t="shared" si="103"/>
        <v>5</v>
      </c>
      <c r="CC57" s="2" t="str">
        <f t="shared" si="54"/>
        <v>131.9.28</v>
      </c>
      <c r="CD57" s="181">
        <f t="shared" si="95"/>
        <v>9</v>
      </c>
      <c r="CE57" s="2">
        <f t="shared" si="96"/>
        <v>28</v>
      </c>
      <c r="CF57" s="2" t="str">
        <f t="shared" si="104"/>
        <v>生日</v>
      </c>
      <c r="CG57" s="2" t="str">
        <f t="shared" si="105"/>
        <v>131.2.5</v>
      </c>
      <c r="CH57" s="2">
        <f t="shared" si="106"/>
        <v>2</v>
      </c>
      <c r="CI57" s="2" t="str">
        <f t="shared" si="107"/>
        <v>初任</v>
      </c>
      <c r="CJ57" s="2" t="str">
        <f t="shared" si="108"/>
        <v>131.9.28</v>
      </c>
      <c r="CK57" s="2">
        <f t="shared" si="109"/>
        <v>9</v>
      </c>
      <c r="CL57" s="2">
        <f t="shared" si="110"/>
        <v>0</v>
      </c>
      <c r="CM57" s="339">
        <f t="shared" si="62"/>
      </c>
      <c r="CN57" s="2">
        <f t="shared" si="63"/>
      </c>
      <c r="CO57" s="2">
        <f t="shared" si="64"/>
      </c>
      <c r="CP57" s="2">
        <f t="shared" si="65"/>
      </c>
      <c r="CQ57" s="2">
        <f t="shared" si="66"/>
      </c>
      <c r="CR57" s="2">
        <f t="shared" si="7"/>
      </c>
      <c r="CS57" s="128">
        <f t="shared" si="8"/>
      </c>
      <c r="CT57" s="2">
        <f t="shared" si="67"/>
      </c>
      <c r="CU57" s="2">
        <f t="shared" si="68"/>
      </c>
      <c r="CV57" s="128">
        <f t="shared" si="69"/>
      </c>
      <c r="CW57" s="2" t="str">
        <f t="shared" si="97"/>
        <v>131.1.1</v>
      </c>
      <c r="CX57" s="2">
        <f t="shared" si="70"/>
        <v>1</v>
      </c>
      <c r="CY57" s="128" t="str">
        <f t="shared" si="71"/>
        <v>131.2.1。【說明：原實際條件成就時間為131.1.1，惟因必須配合學期而延至當學期結束之次日，始能退休生效，爰推算為131.2.1】</v>
      </c>
      <c r="CZ57" s="2">
        <f t="shared" si="72"/>
      </c>
      <c r="DA57" s="2">
        <f t="shared" si="73"/>
      </c>
      <c r="DB57" s="128">
        <f t="shared" si="74"/>
      </c>
      <c r="DC57" s="2">
        <f t="shared" si="75"/>
      </c>
      <c r="DD57" s="2">
        <f t="shared" si="76"/>
      </c>
      <c r="DE57" s="128">
        <f t="shared" si="77"/>
      </c>
      <c r="DF57" s="2"/>
      <c r="DG57" s="2"/>
      <c r="DH57" s="128"/>
      <c r="DI57" s="2">
        <f t="shared" si="78"/>
      </c>
      <c r="DJ57" s="2">
        <f t="shared" si="79"/>
      </c>
      <c r="DK57" s="128">
        <f t="shared" si="80"/>
      </c>
      <c r="DL57" s="128"/>
      <c r="DM57" s="21" t="str">
        <f t="shared" si="81"/>
        <v>131.2.1。【說明：原實際條件成就時間為131.1.1，惟因必須配合學期而延至當學期結束之次日，始能退休生效，爰推算為131.2.1】</v>
      </c>
      <c r="DN57" s="2" t="str">
        <f t="shared" si="82"/>
        <v>131.1.1</v>
      </c>
      <c r="DO57" s="2"/>
      <c r="DP57" s="2"/>
      <c r="DQ57" s="2"/>
      <c r="DR57" s="2"/>
      <c r="DS57" s="2"/>
      <c r="DT57" s="2"/>
      <c r="DU57" s="2"/>
      <c r="DV57" s="10"/>
      <c r="DW57" s="2">
        <f t="shared" si="83"/>
        <v>131</v>
      </c>
      <c r="DX57" s="2">
        <f t="shared" si="84"/>
      </c>
      <c r="DY57" s="34"/>
      <c r="DZ57" s="7">
        <f t="shared" si="85"/>
        <v>1</v>
      </c>
      <c r="EA57" s="123">
        <f t="shared" si="86"/>
        <v>0</v>
      </c>
      <c r="EB57" s="211">
        <f t="shared" si="87"/>
      </c>
      <c r="EC57" s="210">
        <f t="shared" si="88"/>
      </c>
      <c r="ED57" s="210" t="e">
        <f t="shared" si="89"/>
        <v>#VALUE!</v>
      </c>
      <c r="EE57" s="34"/>
      <c r="EF57" s="34"/>
      <c r="EG57" s="34"/>
      <c r="EH57" s="34"/>
      <c r="EI57" s="118">
        <f t="shared" si="90"/>
        <v>0</v>
      </c>
      <c r="EJ57" s="34"/>
      <c r="EK57" s="313">
        <f t="shared" si="91"/>
        <v>58</v>
      </c>
      <c r="EL57" s="34"/>
      <c r="EM57" s="34"/>
      <c r="EN57" s="30">
        <f t="shared" si="92"/>
      </c>
      <c r="EO57" s="30">
        <f t="shared" si="9"/>
      </c>
      <c r="EP57" s="20">
        <f t="shared" si="93"/>
      </c>
      <c r="EQ57" s="315"/>
    </row>
    <row r="58" spans="1:147" s="29" customFormat="1" ht="15" customHeight="1">
      <c r="A58" s="143"/>
      <c r="B58" s="149">
        <f t="shared" si="98"/>
        <v>132</v>
      </c>
      <c r="C58" s="26">
        <f t="shared" si="94"/>
        <v>20431231</v>
      </c>
      <c r="D58" s="26" t="str">
        <f t="shared" si="10"/>
        <v>2043</v>
      </c>
      <c r="E58" s="26" t="str">
        <f t="shared" si="11"/>
        <v>12</v>
      </c>
      <c r="F58" s="26" t="str">
        <f t="shared" si="12"/>
        <v>31</v>
      </c>
      <c r="G58" s="300">
        <f t="shared" si="13"/>
        <v>52596</v>
      </c>
      <c r="H58" s="116">
        <f t="shared" si="0"/>
        <v>42</v>
      </c>
      <c r="I58" s="116">
        <f t="shared" si="14"/>
        <v>4</v>
      </c>
      <c r="J58" s="26">
        <f t="shared" si="111"/>
        <v>30</v>
      </c>
      <c r="K58" s="117">
        <f t="shared" si="15"/>
        <v>44</v>
      </c>
      <c r="L58" s="117">
        <f t="shared" si="16"/>
        <v>3</v>
      </c>
      <c r="M58" s="117">
        <f t="shared" si="17"/>
        <v>8</v>
      </c>
      <c r="N58" s="571" t="str">
        <f t="shared" si="99"/>
        <v>132.1.1~132.12.31</v>
      </c>
      <c r="O58" s="572"/>
      <c r="P58" s="572"/>
      <c r="Q58" s="573"/>
      <c r="R58" s="390"/>
      <c r="S58" s="391">
        <f t="shared" si="18"/>
        <v>74</v>
      </c>
      <c r="T58" s="392">
        <f t="shared" si="19"/>
        <v>44</v>
      </c>
      <c r="U58" s="393">
        <f t="shared" si="20"/>
        <v>118</v>
      </c>
      <c r="V58" s="148">
        <f t="shared" si="21"/>
      </c>
      <c r="W58" s="430">
        <f t="shared" si="22"/>
      </c>
      <c r="X58" s="402"/>
      <c r="Y58" s="402"/>
      <c r="Z58" s="431"/>
      <c r="AA58" s="276">
        <f t="shared" si="23"/>
      </c>
      <c r="AB58" s="249">
        <f t="shared" si="24"/>
      </c>
      <c r="AC58" s="330">
        <f t="shared" si="25"/>
      </c>
      <c r="AD58" s="102"/>
      <c r="AE58" s="118">
        <f t="shared" si="26"/>
        <v>0</v>
      </c>
      <c r="AF58" s="118">
        <f t="shared" si="27"/>
        <v>0</v>
      </c>
      <c r="AG58" s="118">
        <f t="shared" si="28"/>
        <v>1</v>
      </c>
      <c r="AH58" s="118">
        <f>IF(OR(AE58+AF58+AG58&gt;0,SUM($AE$30:AG57)&gt;0),1,0)</f>
        <v>1</v>
      </c>
      <c r="AI58" s="118">
        <f t="shared" si="29"/>
      </c>
      <c r="AJ58" s="118">
        <f t="shared" si="30"/>
      </c>
      <c r="AK58" s="118" t="str">
        <f t="shared" si="31"/>
        <v>符合「年齡滿65歲、年資滿15年」之擇領月退休金條件</v>
      </c>
      <c r="AL58" s="118" t="str">
        <f t="shared" si="32"/>
        <v>符合「年齡滿65歲、年資滿15年」之擇領月退休金條件</v>
      </c>
      <c r="AM58" s="119">
        <f t="shared" si="33"/>
        <v>0</v>
      </c>
      <c r="AN58" s="119">
        <f t="shared" si="34"/>
        <v>1</v>
      </c>
      <c r="AO58" s="119" t="str">
        <f t="shared" si="35"/>
        <v>符合</v>
      </c>
      <c r="AP58" s="119">
        <f t="shared" si="36"/>
        <v>74</v>
      </c>
      <c r="AQ58" s="119">
        <f t="shared" si="37"/>
        <v>20431231</v>
      </c>
      <c r="AR58" s="119" t="str">
        <f t="shared" si="38"/>
        <v>132.1.1~132.12.31</v>
      </c>
      <c r="AS58" s="120">
        <f t="shared" si="39"/>
      </c>
      <c r="AT58" s="121">
        <f t="shared" si="40"/>
      </c>
      <c r="AU58" s="121">
        <f t="shared" si="41"/>
        <v>1</v>
      </c>
      <c r="AV58" s="119">
        <f t="shared" si="42"/>
      </c>
      <c r="AW58" s="122">
        <f t="shared" si="43"/>
      </c>
      <c r="AX58" s="31">
        <f t="shared" si="44"/>
        <v>0</v>
      </c>
      <c r="AY58" s="7">
        <f t="shared" si="45"/>
        <v>1</v>
      </c>
      <c r="AZ58" s="123">
        <f t="shared" si="46"/>
        <v>1</v>
      </c>
      <c r="BA58" s="123">
        <f t="shared" si="47"/>
        <v>0</v>
      </c>
      <c r="BB58" s="123">
        <f t="shared" si="48"/>
      </c>
      <c r="BC58" s="33"/>
      <c r="BD58" s="33"/>
      <c r="BE58" s="33"/>
      <c r="BF58" s="33"/>
      <c r="BG58" s="30"/>
      <c r="BH58" s="30"/>
      <c r="BI58" s="30"/>
      <c r="BJ58" s="30"/>
      <c r="BK58" s="30"/>
      <c r="BL58" s="30"/>
      <c r="BM58" s="30"/>
      <c r="BN58" s="124"/>
      <c r="BO58" s="125"/>
      <c r="BP58" s="125"/>
      <c r="BQ58" s="126"/>
      <c r="BR58" s="126"/>
      <c r="BS58" s="126"/>
      <c r="BT58" s="127">
        <v>58</v>
      </c>
      <c r="BU58" s="127"/>
      <c r="BV58" s="127"/>
      <c r="BW58" s="179">
        <f t="shared" si="101"/>
        <v>23</v>
      </c>
      <c r="BX58" s="7">
        <f t="shared" si="102"/>
        <v>9</v>
      </c>
      <c r="BY58" s="20">
        <f t="shared" si="51"/>
        <v>132</v>
      </c>
      <c r="BZ58" s="2" t="str">
        <f t="shared" si="52"/>
        <v>132.2.5</v>
      </c>
      <c r="CA58" s="181">
        <f t="shared" si="53"/>
        <v>2</v>
      </c>
      <c r="CB58" s="2">
        <f t="shared" si="103"/>
        <v>5</v>
      </c>
      <c r="CC58" s="2" t="str">
        <f t="shared" si="54"/>
        <v>132.9.28</v>
      </c>
      <c r="CD58" s="181">
        <f t="shared" si="95"/>
        <v>9</v>
      </c>
      <c r="CE58" s="2">
        <f t="shared" si="96"/>
        <v>28</v>
      </c>
      <c r="CF58" s="2" t="str">
        <f t="shared" si="104"/>
        <v>生日</v>
      </c>
      <c r="CG58" s="2" t="str">
        <f t="shared" si="105"/>
        <v>132.2.5</v>
      </c>
      <c r="CH58" s="2">
        <f t="shared" si="106"/>
        <v>2</v>
      </c>
      <c r="CI58" s="2" t="str">
        <f t="shared" si="107"/>
        <v>初任</v>
      </c>
      <c r="CJ58" s="2" t="str">
        <f t="shared" si="108"/>
        <v>132.9.28</v>
      </c>
      <c r="CK58" s="2">
        <f t="shared" si="109"/>
        <v>9</v>
      </c>
      <c r="CL58" s="2">
        <f t="shared" si="110"/>
        <v>0</v>
      </c>
      <c r="CM58" s="339">
        <f t="shared" si="62"/>
      </c>
      <c r="CN58" s="2">
        <f t="shared" si="63"/>
      </c>
      <c r="CO58" s="2">
        <f t="shared" si="64"/>
      </c>
      <c r="CP58" s="2">
        <f t="shared" si="65"/>
      </c>
      <c r="CQ58" s="2">
        <f t="shared" si="66"/>
      </c>
      <c r="CR58" s="2">
        <f t="shared" si="7"/>
      </c>
      <c r="CS58" s="128">
        <f t="shared" si="8"/>
      </c>
      <c r="CT58" s="2">
        <f t="shared" si="67"/>
      </c>
      <c r="CU58" s="2">
        <f t="shared" si="68"/>
      </c>
      <c r="CV58" s="128">
        <f t="shared" si="69"/>
      </c>
      <c r="CW58" s="2" t="str">
        <f t="shared" si="97"/>
        <v>132.1.1</v>
      </c>
      <c r="CX58" s="2">
        <f t="shared" si="70"/>
        <v>1</v>
      </c>
      <c r="CY58" s="128" t="str">
        <f t="shared" si="71"/>
        <v>132.2.1。【說明：原實際條件成就時間為132.1.1，惟因必須配合學期而延至當學期結束之次日，始能退休生效，爰推算為132.2.1】</v>
      </c>
      <c r="CZ58" s="2">
        <f t="shared" si="72"/>
      </c>
      <c r="DA58" s="2">
        <f t="shared" si="73"/>
      </c>
      <c r="DB58" s="128">
        <f t="shared" si="74"/>
      </c>
      <c r="DC58" s="2">
        <f t="shared" si="75"/>
      </c>
      <c r="DD58" s="2">
        <f t="shared" si="76"/>
      </c>
      <c r="DE58" s="128">
        <f t="shared" si="77"/>
      </c>
      <c r="DF58" s="2"/>
      <c r="DG58" s="2"/>
      <c r="DH58" s="128"/>
      <c r="DI58" s="2">
        <f t="shared" si="78"/>
      </c>
      <c r="DJ58" s="2">
        <f t="shared" si="79"/>
      </c>
      <c r="DK58" s="128">
        <f t="shared" si="80"/>
      </c>
      <c r="DL58" s="128"/>
      <c r="DM58" s="21" t="str">
        <f t="shared" si="81"/>
        <v>132.2.1。【說明：原實際條件成就時間為132.1.1，惟因必須配合學期而延至當學期結束之次日，始能退休生效，爰推算為132.2.1】</v>
      </c>
      <c r="DN58" s="2" t="str">
        <f t="shared" si="82"/>
        <v>132.1.1</v>
      </c>
      <c r="DO58" s="2"/>
      <c r="DP58" s="2"/>
      <c r="DQ58" s="2"/>
      <c r="DR58" s="2"/>
      <c r="DS58" s="2"/>
      <c r="DT58" s="2"/>
      <c r="DU58" s="2"/>
      <c r="DV58" s="10"/>
      <c r="DW58" s="2">
        <f t="shared" si="83"/>
        <v>132</v>
      </c>
      <c r="DX58" s="2">
        <f t="shared" si="84"/>
      </c>
      <c r="DY58" s="34"/>
      <c r="DZ58" s="7">
        <f t="shared" si="85"/>
        <v>1</v>
      </c>
      <c r="EA58" s="123">
        <f t="shared" si="86"/>
        <v>0</v>
      </c>
      <c r="EB58" s="211">
        <f t="shared" si="87"/>
      </c>
      <c r="EC58" s="210">
        <f t="shared" si="88"/>
      </c>
      <c r="ED58" s="210" t="e">
        <f t="shared" si="89"/>
        <v>#VALUE!</v>
      </c>
      <c r="EE58" s="34"/>
      <c r="EF58" s="34"/>
      <c r="EG58" s="34"/>
      <c r="EH58" s="34"/>
      <c r="EI58" s="118">
        <f t="shared" si="90"/>
        <v>0</v>
      </c>
      <c r="EJ58" s="34"/>
      <c r="EK58" s="313">
        <f t="shared" si="91"/>
        <v>58</v>
      </c>
      <c r="EL58" s="34"/>
      <c r="EM58" s="34"/>
      <c r="EN58" s="30">
        <f t="shared" si="92"/>
      </c>
      <c r="EO58" s="30">
        <f t="shared" si="9"/>
      </c>
      <c r="EP58" s="20">
        <f t="shared" si="93"/>
      </c>
      <c r="EQ58" s="315"/>
    </row>
    <row r="59" spans="1:147" s="29" customFormat="1" ht="15" customHeight="1">
      <c r="A59" s="143"/>
      <c r="B59" s="149">
        <f t="shared" si="98"/>
        <v>133</v>
      </c>
      <c r="C59" s="26">
        <f t="shared" si="94"/>
        <v>20441231</v>
      </c>
      <c r="D59" s="26" t="str">
        <f t="shared" si="10"/>
        <v>2044</v>
      </c>
      <c r="E59" s="26" t="str">
        <f t="shared" si="11"/>
        <v>12</v>
      </c>
      <c r="F59" s="26" t="str">
        <f t="shared" si="12"/>
        <v>31</v>
      </c>
      <c r="G59" s="300">
        <f t="shared" si="13"/>
        <v>52962</v>
      </c>
      <c r="H59" s="116">
        <f t="shared" si="0"/>
        <v>43</v>
      </c>
      <c r="I59" s="116">
        <f t="shared" si="14"/>
        <v>4</v>
      </c>
      <c r="J59" s="26">
        <f t="shared" si="111"/>
        <v>30</v>
      </c>
      <c r="K59" s="117">
        <f t="shared" si="15"/>
        <v>45</v>
      </c>
      <c r="L59" s="117">
        <f t="shared" si="16"/>
        <v>3</v>
      </c>
      <c r="M59" s="117">
        <f t="shared" si="17"/>
        <v>8</v>
      </c>
      <c r="N59" s="571" t="str">
        <f t="shared" si="99"/>
        <v>133.1.1~133.12.31</v>
      </c>
      <c r="O59" s="572"/>
      <c r="P59" s="572"/>
      <c r="Q59" s="573"/>
      <c r="R59" s="390"/>
      <c r="S59" s="391">
        <f t="shared" si="18"/>
        <v>75</v>
      </c>
      <c r="T59" s="392">
        <f t="shared" si="19"/>
        <v>45</v>
      </c>
      <c r="U59" s="393">
        <f t="shared" si="20"/>
        <v>120</v>
      </c>
      <c r="V59" s="148">
        <f t="shared" si="21"/>
      </c>
      <c r="W59" s="430">
        <f t="shared" si="22"/>
      </c>
      <c r="X59" s="402"/>
      <c r="Y59" s="402"/>
      <c r="Z59" s="431"/>
      <c r="AA59" s="276">
        <f t="shared" si="23"/>
      </c>
      <c r="AB59" s="249">
        <f t="shared" si="24"/>
      </c>
      <c r="AC59" s="330">
        <f t="shared" si="25"/>
      </c>
      <c r="AD59" s="102"/>
      <c r="AE59" s="118">
        <f t="shared" si="26"/>
        <v>0</v>
      </c>
      <c r="AF59" s="118">
        <f t="shared" si="27"/>
        <v>0</v>
      </c>
      <c r="AG59" s="118">
        <f t="shared" si="28"/>
        <v>1</v>
      </c>
      <c r="AH59" s="118">
        <f>IF(OR(AE59+AF59+AG59&gt;0,SUM($AE$30:AG58)&gt;0),1,0)</f>
        <v>1</v>
      </c>
      <c r="AI59" s="118">
        <f t="shared" si="29"/>
      </c>
      <c r="AJ59" s="118">
        <f t="shared" si="30"/>
      </c>
      <c r="AK59" s="118" t="str">
        <f t="shared" si="31"/>
        <v>符合「年齡滿65歲、年資滿15年」之擇領月退休金條件</v>
      </c>
      <c r="AL59" s="118" t="str">
        <f t="shared" si="32"/>
        <v>符合「年齡滿65歲、年資滿15年」之擇領月退休金條件</v>
      </c>
      <c r="AM59" s="119">
        <f t="shared" si="33"/>
        <v>0</v>
      </c>
      <c r="AN59" s="119">
        <f t="shared" si="34"/>
        <v>1</v>
      </c>
      <c r="AO59" s="119" t="str">
        <f t="shared" si="35"/>
        <v>符合</v>
      </c>
      <c r="AP59" s="119">
        <f t="shared" si="36"/>
        <v>75</v>
      </c>
      <c r="AQ59" s="119">
        <f t="shared" si="37"/>
        <v>20441231</v>
      </c>
      <c r="AR59" s="119" t="str">
        <f t="shared" si="38"/>
        <v>133.1.1~133.12.31</v>
      </c>
      <c r="AS59" s="120">
        <f t="shared" si="39"/>
      </c>
      <c r="AT59" s="121">
        <f t="shared" si="40"/>
      </c>
      <c r="AU59" s="121">
        <f t="shared" si="41"/>
        <v>1</v>
      </c>
      <c r="AV59" s="119">
        <f t="shared" si="42"/>
      </c>
      <c r="AW59" s="122">
        <f t="shared" si="43"/>
      </c>
      <c r="AX59" s="31">
        <f t="shared" si="44"/>
        <v>0</v>
      </c>
      <c r="AY59" s="7">
        <f t="shared" si="45"/>
        <v>1</v>
      </c>
      <c r="AZ59" s="123">
        <f t="shared" si="46"/>
        <v>1</v>
      </c>
      <c r="BA59" s="123">
        <f t="shared" si="47"/>
        <v>0</v>
      </c>
      <c r="BB59" s="123">
        <f t="shared" si="48"/>
      </c>
      <c r="BC59" s="33"/>
      <c r="BD59" s="33"/>
      <c r="BE59" s="33"/>
      <c r="BF59" s="33"/>
      <c r="BG59" s="30"/>
      <c r="BH59" s="30"/>
      <c r="BI59" s="30"/>
      <c r="BJ59" s="30"/>
      <c r="BK59" s="30"/>
      <c r="BL59" s="30"/>
      <c r="BM59" s="30"/>
      <c r="BN59" s="124"/>
      <c r="BO59" s="125"/>
      <c r="BP59" s="125"/>
      <c r="BQ59" s="126"/>
      <c r="BR59" s="126"/>
      <c r="BS59" s="126"/>
      <c r="BT59" s="127">
        <v>58</v>
      </c>
      <c r="BU59" s="127"/>
      <c r="BV59" s="127"/>
      <c r="BW59" s="179">
        <f t="shared" si="101"/>
        <v>23</v>
      </c>
      <c r="BX59" s="7">
        <f t="shared" si="102"/>
        <v>9</v>
      </c>
      <c r="BY59" s="20">
        <f t="shared" si="51"/>
        <v>133</v>
      </c>
      <c r="BZ59" s="2" t="str">
        <f t="shared" si="52"/>
        <v>133.2.5</v>
      </c>
      <c r="CA59" s="181">
        <f t="shared" si="53"/>
        <v>2</v>
      </c>
      <c r="CB59" s="2">
        <f t="shared" si="103"/>
        <v>5</v>
      </c>
      <c r="CC59" s="2" t="str">
        <f t="shared" si="54"/>
        <v>133.9.28</v>
      </c>
      <c r="CD59" s="181">
        <f t="shared" si="95"/>
        <v>9</v>
      </c>
      <c r="CE59" s="2">
        <f t="shared" si="96"/>
        <v>28</v>
      </c>
      <c r="CF59" s="2" t="str">
        <f t="shared" si="104"/>
        <v>生日</v>
      </c>
      <c r="CG59" s="2" t="str">
        <f t="shared" si="105"/>
        <v>133.2.5</v>
      </c>
      <c r="CH59" s="2">
        <f t="shared" si="106"/>
        <v>2</v>
      </c>
      <c r="CI59" s="2" t="str">
        <f t="shared" si="107"/>
        <v>初任</v>
      </c>
      <c r="CJ59" s="2" t="str">
        <f t="shared" si="108"/>
        <v>133.9.28</v>
      </c>
      <c r="CK59" s="2">
        <f t="shared" si="109"/>
        <v>9</v>
      </c>
      <c r="CL59" s="2">
        <f t="shared" si="110"/>
        <v>0</v>
      </c>
      <c r="CM59" s="339">
        <f t="shared" si="62"/>
      </c>
      <c r="CN59" s="2">
        <f t="shared" si="63"/>
      </c>
      <c r="CO59" s="2">
        <f t="shared" si="64"/>
      </c>
      <c r="CP59" s="2">
        <f t="shared" si="65"/>
      </c>
      <c r="CQ59" s="2">
        <f t="shared" si="66"/>
      </c>
      <c r="CR59" s="2">
        <f t="shared" si="7"/>
      </c>
      <c r="CS59" s="128">
        <f t="shared" si="8"/>
      </c>
      <c r="CT59" s="2">
        <f t="shared" si="67"/>
      </c>
      <c r="CU59" s="2">
        <f t="shared" si="68"/>
      </c>
      <c r="CV59" s="128">
        <f t="shared" si="69"/>
      </c>
      <c r="CW59" s="2" t="str">
        <f t="shared" si="97"/>
        <v>133.1.1</v>
      </c>
      <c r="CX59" s="2">
        <f t="shared" si="70"/>
        <v>1</v>
      </c>
      <c r="CY59" s="128" t="str">
        <f t="shared" si="71"/>
        <v>133.2.1。【說明：原實際條件成就時間為133.1.1，惟因必須配合學期而延至當學期結束之次日，始能退休生效，爰推算為133.2.1】</v>
      </c>
      <c r="CZ59" s="2">
        <f t="shared" si="72"/>
      </c>
      <c r="DA59" s="2">
        <f t="shared" si="73"/>
      </c>
      <c r="DB59" s="128">
        <f t="shared" si="74"/>
      </c>
      <c r="DC59" s="2">
        <f t="shared" si="75"/>
      </c>
      <c r="DD59" s="2">
        <f t="shared" si="76"/>
      </c>
      <c r="DE59" s="128">
        <f t="shared" si="77"/>
      </c>
      <c r="DF59" s="2"/>
      <c r="DG59" s="2"/>
      <c r="DH59" s="128"/>
      <c r="DI59" s="2">
        <f t="shared" si="78"/>
      </c>
      <c r="DJ59" s="2">
        <f t="shared" si="79"/>
      </c>
      <c r="DK59" s="128">
        <f t="shared" si="80"/>
      </c>
      <c r="DL59" s="128"/>
      <c r="DM59" s="21" t="str">
        <f t="shared" si="81"/>
        <v>133.2.1。【說明：原實際條件成就時間為133.1.1，惟因必須配合學期而延至當學期結束之次日，始能退休生效，爰推算為133.2.1】</v>
      </c>
      <c r="DN59" s="2" t="str">
        <f t="shared" si="82"/>
        <v>133.1.1</v>
      </c>
      <c r="DO59" s="2"/>
      <c r="DP59" s="2"/>
      <c r="DQ59" s="2"/>
      <c r="DR59" s="2"/>
      <c r="DS59" s="2"/>
      <c r="DT59" s="2"/>
      <c r="DU59" s="2"/>
      <c r="DV59" s="10"/>
      <c r="DW59" s="2">
        <f t="shared" si="83"/>
        <v>133</v>
      </c>
      <c r="DX59" s="2">
        <f t="shared" si="84"/>
      </c>
      <c r="DY59" s="34"/>
      <c r="DZ59" s="7">
        <f t="shared" si="85"/>
        <v>1</v>
      </c>
      <c r="EA59" s="123">
        <f t="shared" si="86"/>
        <v>0</v>
      </c>
      <c r="EB59" s="211">
        <f t="shared" si="87"/>
      </c>
      <c r="EC59" s="210">
        <f t="shared" si="88"/>
      </c>
      <c r="ED59" s="210" t="e">
        <f t="shared" si="89"/>
        <v>#VALUE!</v>
      </c>
      <c r="EE59" s="34"/>
      <c r="EF59" s="34"/>
      <c r="EG59" s="34"/>
      <c r="EH59" s="34"/>
      <c r="EI59" s="118">
        <f t="shared" si="90"/>
        <v>0</v>
      </c>
      <c r="EJ59" s="34"/>
      <c r="EK59" s="313">
        <f t="shared" si="91"/>
        <v>58</v>
      </c>
      <c r="EL59" s="34"/>
      <c r="EM59" s="34"/>
      <c r="EN59" s="30">
        <f t="shared" si="92"/>
      </c>
      <c r="EO59" s="30">
        <f t="shared" si="9"/>
      </c>
      <c r="EP59" s="20">
        <f t="shared" si="93"/>
      </c>
      <c r="EQ59" s="315"/>
    </row>
    <row r="60" spans="1:147" s="29" customFormat="1" ht="15" customHeight="1">
      <c r="A60" s="143"/>
      <c r="B60" s="149">
        <f t="shared" si="98"/>
        <v>134</v>
      </c>
      <c r="C60" s="26">
        <f t="shared" si="94"/>
        <v>20451231</v>
      </c>
      <c r="D60" s="26" t="str">
        <f t="shared" si="10"/>
        <v>2045</v>
      </c>
      <c r="E60" s="26" t="str">
        <f t="shared" si="11"/>
        <v>12</v>
      </c>
      <c r="F60" s="26" t="str">
        <f t="shared" si="12"/>
        <v>31</v>
      </c>
      <c r="G60" s="300">
        <f t="shared" si="13"/>
        <v>53327</v>
      </c>
      <c r="H60" s="116">
        <f t="shared" si="0"/>
        <v>44</v>
      </c>
      <c r="I60" s="116">
        <f t="shared" si="14"/>
        <v>4</v>
      </c>
      <c r="J60" s="26">
        <f t="shared" si="111"/>
        <v>30</v>
      </c>
      <c r="K60" s="117">
        <f t="shared" si="15"/>
        <v>46</v>
      </c>
      <c r="L60" s="117">
        <f t="shared" si="16"/>
        <v>3</v>
      </c>
      <c r="M60" s="117">
        <f t="shared" si="17"/>
        <v>8</v>
      </c>
      <c r="N60" s="571" t="str">
        <f t="shared" si="99"/>
        <v>134.1.1~134.12.31</v>
      </c>
      <c r="O60" s="572"/>
      <c r="P60" s="572"/>
      <c r="Q60" s="573"/>
      <c r="R60" s="390"/>
      <c r="S60" s="391">
        <f t="shared" si="18"/>
        <v>76</v>
      </c>
      <c r="T60" s="392">
        <f t="shared" si="19"/>
        <v>46</v>
      </c>
      <c r="U60" s="393">
        <f t="shared" si="20"/>
        <v>122</v>
      </c>
      <c r="V60" s="148">
        <f t="shared" si="21"/>
      </c>
      <c r="W60" s="430">
        <f t="shared" si="22"/>
      </c>
      <c r="X60" s="402"/>
      <c r="Y60" s="402"/>
      <c r="Z60" s="431"/>
      <c r="AA60" s="276">
        <f t="shared" si="23"/>
      </c>
      <c r="AB60" s="249">
        <f t="shared" si="24"/>
      </c>
      <c r="AC60" s="330">
        <f t="shared" si="25"/>
      </c>
      <c r="AD60" s="102"/>
      <c r="AE60" s="118">
        <f t="shared" si="26"/>
        <v>0</v>
      </c>
      <c r="AF60" s="118">
        <f t="shared" si="27"/>
        <v>0</v>
      </c>
      <c r="AG60" s="118">
        <f t="shared" si="28"/>
        <v>1</v>
      </c>
      <c r="AH60" s="118">
        <f>IF(OR(AE60+AF60+AG60&gt;0,SUM($AE$30:AG59)&gt;0),1,0)</f>
        <v>1</v>
      </c>
      <c r="AI60" s="118">
        <f t="shared" si="29"/>
      </c>
      <c r="AJ60" s="118">
        <f t="shared" si="30"/>
      </c>
      <c r="AK60" s="118" t="str">
        <f t="shared" si="31"/>
        <v>符合「年齡滿65歲、年資滿15年」之擇領月退休金條件</v>
      </c>
      <c r="AL60" s="118" t="str">
        <f t="shared" si="32"/>
        <v>符合「年齡滿65歲、年資滿15年」之擇領月退休金條件</v>
      </c>
      <c r="AM60" s="119">
        <f t="shared" si="33"/>
        <v>0</v>
      </c>
      <c r="AN60" s="119">
        <f t="shared" si="34"/>
        <v>1</v>
      </c>
      <c r="AO60" s="119" t="str">
        <f t="shared" si="35"/>
        <v>符合</v>
      </c>
      <c r="AP60" s="119">
        <f t="shared" si="36"/>
        <v>76</v>
      </c>
      <c r="AQ60" s="119">
        <f t="shared" si="37"/>
        <v>20451231</v>
      </c>
      <c r="AR60" s="119" t="str">
        <f t="shared" si="38"/>
        <v>134.1.1~134.12.31</v>
      </c>
      <c r="AS60" s="120">
        <f t="shared" si="39"/>
      </c>
      <c r="AT60" s="121">
        <f t="shared" si="40"/>
      </c>
      <c r="AU60" s="121">
        <f t="shared" si="41"/>
        <v>1</v>
      </c>
      <c r="AV60" s="119">
        <f t="shared" si="42"/>
      </c>
      <c r="AW60" s="122">
        <f t="shared" si="43"/>
      </c>
      <c r="AX60" s="31">
        <f t="shared" si="44"/>
        <v>0</v>
      </c>
      <c r="AY60" s="7">
        <f t="shared" si="45"/>
        <v>1</v>
      </c>
      <c r="AZ60" s="123">
        <f t="shared" si="46"/>
        <v>1</v>
      </c>
      <c r="BA60" s="123">
        <f t="shared" si="47"/>
        <v>0</v>
      </c>
      <c r="BB60" s="123">
        <f t="shared" si="48"/>
      </c>
      <c r="BC60" s="33"/>
      <c r="BD60" s="33"/>
      <c r="BE60" s="33"/>
      <c r="BF60" s="33"/>
      <c r="BG60" s="30"/>
      <c r="BH60" s="30"/>
      <c r="BI60" s="30"/>
      <c r="BJ60" s="30"/>
      <c r="BK60" s="30"/>
      <c r="BL60" s="30"/>
      <c r="BM60" s="30"/>
      <c r="BN60" s="124"/>
      <c r="BO60" s="125"/>
      <c r="BP60" s="125"/>
      <c r="BQ60" s="126"/>
      <c r="BR60" s="126"/>
      <c r="BS60" s="126"/>
      <c r="BT60" s="127">
        <v>58</v>
      </c>
      <c r="BU60" s="127"/>
      <c r="BV60" s="127"/>
      <c r="BW60" s="179">
        <f t="shared" si="101"/>
        <v>23</v>
      </c>
      <c r="BX60" s="7">
        <f t="shared" si="102"/>
        <v>9</v>
      </c>
      <c r="BY60" s="20">
        <f t="shared" si="51"/>
        <v>134</v>
      </c>
      <c r="BZ60" s="2" t="str">
        <f t="shared" si="52"/>
        <v>134.2.5</v>
      </c>
      <c r="CA60" s="181">
        <f t="shared" si="53"/>
        <v>2</v>
      </c>
      <c r="CB60" s="2">
        <f t="shared" si="103"/>
        <v>5</v>
      </c>
      <c r="CC60" s="2" t="str">
        <f t="shared" si="54"/>
        <v>134.9.28</v>
      </c>
      <c r="CD60" s="181">
        <f t="shared" si="95"/>
        <v>9</v>
      </c>
      <c r="CE60" s="2">
        <f t="shared" si="96"/>
        <v>28</v>
      </c>
      <c r="CF60" s="2" t="str">
        <f t="shared" si="104"/>
        <v>生日</v>
      </c>
      <c r="CG60" s="2" t="str">
        <f t="shared" si="105"/>
        <v>134.2.5</v>
      </c>
      <c r="CH60" s="2">
        <f t="shared" si="106"/>
        <v>2</v>
      </c>
      <c r="CI60" s="2" t="str">
        <f t="shared" si="107"/>
        <v>初任</v>
      </c>
      <c r="CJ60" s="2" t="str">
        <f t="shared" si="108"/>
        <v>134.9.28</v>
      </c>
      <c r="CK60" s="2">
        <f t="shared" si="109"/>
        <v>9</v>
      </c>
      <c r="CL60" s="2">
        <f t="shared" si="110"/>
        <v>0</v>
      </c>
      <c r="CM60" s="339">
        <f t="shared" si="62"/>
      </c>
      <c r="CN60" s="2">
        <f t="shared" si="63"/>
      </c>
      <c r="CO60" s="2">
        <f t="shared" si="64"/>
      </c>
      <c r="CP60" s="2">
        <f t="shared" si="65"/>
      </c>
      <c r="CQ60" s="2">
        <f t="shared" si="66"/>
      </c>
      <c r="CR60" s="2">
        <f t="shared" si="7"/>
      </c>
      <c r="CS60" s="128">
        <f t="shared" si="8"/>
      </c>
      <c r="CT60" s="2">
        <f t="shared" si="67"/>
      </c>
      <c r="CU60" s="2">
        <f t="shared" si="68"/>
      </c>
      <c r="CV60" s="128">
        <f t="shared" si="69"/>
      </c>
      <c r="CW60" s="2" t="str">
        <f t="shared" si="97"/>
        <v>134.1.1</v>
      </c>
      <c r="CX60" s="2">
        <f t="shared" si="70"/>
        <v>1</v>
      </c>
      <c r="CY60" s="128" t="str">
        <f t="shared" si="71"/>
        <v>134.2.1。【說明：原實際條件成就時間為134.1.1，惟因必須配合學期而延至當學期結束之次日，始能退休生效，爰推算為134.2.1】</v>
      </c>
      <c r="CZ60" s="2">
        <f t="shared" si="72"/>
      </c>
      <c r="DA60" s="2">
        <f t="shared" si="73"/>
      </c>
      <c r="DB60" s="128">
        <f t="shared" si="74"/>
      </c>
      <c r="DC60" s="2">
        <f t="shared" si="75"/>
      </c>
      <c r="DD60" s="2">
        <f t="shared" si="76"/>
      </c>
      <c r="DE60" s="128">
        <f t="shared" si="77"/>
      </c>
      <c r="DF60" s="2"/>
      <c r="DG60" s="2"/>
      <c r="DH60" s="128"/>
      <c r="DI60" s="2">
        <f t="shared" si="78"/>
      </c>
      <c r="DJ60" s="2">
        <f t="shared" si="79"/>
      </c>
      <c r="DK60" s="128">
        <f t="shared" si="80"/>
      </c>
      <c r="DL60" s="128"/>
      <c r="DM60" s="21" t="str">
        <f t="shared" si="81"/>
        <v>134.2.1。【說明：原實際條件成就時間為134.1.1，惟因必須配合學期而延至當學期結束之次日，始能退休生效，爰推算為134.2.1】</v>
      </c>
      <c r="DN60" s="2" t="str">
        <f t="shared" si="82"/>
        <v>134.1.1</v>
      </c>
      <c r="DO60" s="2"/>
      <c r="DP60" s="2"/>
      <c r="DQ60" s="2"/>
      <c r="DR60" s="2"/>
      <c r="DS60" s="2"/>
      <c r="DT60" s="2"/>
      <c r="DU60" s="2"/>
      <c r="DV60" s="10"/>
      <c r="DW60" s="2">
        <f t="shared" si="83"/>
        <v>134</v>
      </c>
      <c r="DX60" s="2">
        <f t="shared" si="84"/>
      </c>
      <c r="DY60" s="34"/>
      <c r="DZ60" s="7">
        <f t="shared" si="85"/>
        <v>1</v>
      </c>
      <c r="EA60" s="123">
        <f t="shared" si="86"/>
        <v>0</v>
      </c>
      <c r="EB60" s="211">
        <f t="shared" si="87"/>
      </c>
      <c r="EC60" s="210">
        <f t="shared" si="88"/>
      </c>
      <c r="ED60" s="210" t="e">
        <f t="shared" si="89"/>
        <v>#VALUE!</v>
      </c>
      <c r="EE60" s="34"/>
      <c r="EF60" s="34"/>
      <c r="EG60" s="34"/>
      <c r="EH60" s="34"/>
      <c r="EI60" s="118">
        <f t="shared" si="90"/>
        <v>0</v>
      </c>
      <c r="EJ60" s="34"/>
      <c r="EK60" s="313">
        <f t="shared" si="91"/>
        <v>58</v>
      </c>
      <c r="EL60" s="34"/>
      <c r="EM60" s="34"/>
      <c r="EN60" s="30">
        <f t="shared" si="92"/>
      </c>
      <c r="EO60" s="30">
        <f t="shared" si="9"/>
      </c>
      <c r="EP60" s="20">
        <f t="shared" si="93"/>
      </c>
      <c r="EQ60" s="315"/>
    </row>
    <row r="61" spans="1:147" s="29" customFormat="1" ht="15" customHeight="1">
      <c r="A61" s="143"/>
      <c r="B61" s="149">
        <f t="shared" si="98"/>
        <v>135</v>
      </c>
      <c r="C61" s="26">
        <f t="shared" si="94"/>
        <v>20461231</v>
      </c>
      <c r="D61" s="26" t="str">
        <f t="shared" si="10"/>
        <v>2046</v>
      </c>
      <c r="E61" s="26" t="str">
        <f t="shared" si="11"/>
        <v>12</v>
      </c>
      <c r="F61" s="26" t="str">
        <f t="shared" si="12"/>
        <v>31</v>
      </c>
      <c r="G61" s="300">
        <f t="shared" si="13"/>
        <v>53692</v>
      </c>
      <c r="H61" s="116">
        <f t="shared" si="0"/>
        <v>45</v>
      </c>
      <c r="I61" s="116">
        <f t="shared" si="14"/>
        <v>4</v>
      </c>
      <c r="J61" s="26">
        <f t="shared" si="111"/>
        <v>30</v>
      </c>
      <c r="K61" s="117">
        <f t="shared" si="15"/>
        <v>47</v>
      </c>
      <c r="L61" s="117">
        <f t="shared" si="16"/>
        <v>3</v>
      </c>
      <c r="M61" s="117">
        <f t="shared" si="17"/>
        <v>8</v>
      </c>
      <c r="N61" s="571" t="str">
        <f t="shared" si="99"/>
        <v>135.1.1~135.12.31</v>
      </c>
      <c r="O61" s="572"/>
      <c r="P61" s="572"/>
      <c r="Q61" s="573"/>
      <c r="R61" s="390"/>
      <c r="S61" s="391">
        <f t="shared" si="18"/>
        <v>77</v>
      </c>
      <c r="T61" s="392">
        <f t="shared" si="19"/>
        <v>47</v>
      </c>
      <c r="U61" s="393">
        <f t="shared" si="20"/>
        <v>124</v>
      </c>
      <c r="V61" s="148">
        <f t="shared" si="21"/>
      </c>
      <c r="W61" s="430">
        <f t="shared" si="22"/>
      </c>
      <c r="X61" s="402"/>
      <c r="Y61" s="402"/>
      <c r="Z61" s="431"/>
      <c r="AA61" s="276">
        <f t="shared" si="23"/>
      </c>
      <c r="AB61" s="249">
        <f t="shared" si="24"/>
      </c>
      <c r="AC61" s="330">
        <f t="shared" si="25"/>
      </c>
      <c r="AD61" s="102"/>
      <c r="AE61" s="118">
        <f t="shared" si="26"/>
        <v>0</v>
      </c>
      <c r="AF61" s="118">
        <f t="shared" si="27"/>
        <v>0</v>
      </c>
      <c r="AG61" s="118">
        <f t="shared" si="28"/>
        <v>1</v>
      </c>
      <c r="AH61" s="118">
        <f>IF(OR(AE61+AF61+AG61&gt;0,SUM($AE$30:AG60)&gt;0),1,0)</f>
        <v>1</v>
      </c>
      <c r="AI61" s="118">
        <f t="shared" si="29"/>
      </c>
      <c r="AJ61" s="118">
        <f t="shared" si="30"/>
      </c>
      <c r="AK61" s="118" t="str">
        <f t="shared" si="31"/>
        <v>符合「年齡滿65歲、年資滿15年」之擇領月退休金條件</v>
      </c>
      <c r="AL61" s="118" t="str">
        <f t="shared" si="32"/>
        <v>符合「年齡滿65歲、年資滿15年」之擇領月退休金條件</v>
      </c>
      <c r="AM61" s="119">
        <f t="shared" si="33"/>
        <v>0</v>
      </c>
      <c r="AN61" s="119">
        <f t="shared" si="34"/>
        <v>1</v>
      </c>
      <c r="AO61" s="119" t="str">
        <f t="shared" si="35"/>
        <v>符合</v>
      </c>
      <c r="AP61" s="119">
        <f t="shared" si="36"/>
        <v>77</v>
      </c>
      <c r="AQ61" s="119">
        <f t="shared" si="37"/>
        <v>20461231</v>
      </c>
      <c r="AR61" s="119" t="str">
        <f t="shared" si="38"/>
        <v>135.1.1~135.12.31</v>
      </c>
      <c r="AS61" s="120">
        <f t="shared" si="39"/>
      </c>
      <c r="AT61" s="121">
        <f t="shared" si="40"/>
      </c>
      <c r="AU61" s="121">
        <f t="shared" si="41"/>
        <v>1</v>
      </c>
      <c r="AV61" s="119">
        <f t="shared" si="42"/>
      </c>
      <c r="AW61" s="122">
        <f t="shared" si="43"/>
      </c>
      <c r="AX61" s="31">
        <f t="shared" si="44"/>
        <v>0</v>
      </c>
      <c r="AY61" s="7">
        <f t="shared" si="45"/>
        <v>1</v>
      </c>
      <c r="AZ61" s="123">
        <f t="shared" si="46"/>
        <v>1</v>
      </c>
      <c r="BA61" s="123">
        <f t="shared" si="47"/>
        <v>0</v>
      </c>
      <c r="BB61" s="123">
        <f t="shared" si="48"/>
      </c>
      <c r="BC61" s="33"/>
      <c r="BD61" s="33"/>
      <c r="BE61" s="33"/>
      <c r="BF61" s="33"/>
      <c r="BG61" s="30"/>
      <c r="BH61" s="30"/>
      <c r="BI61" s="30"/>
      <c r="BJ61" s="30"/>
      <c r="BK61" s="30"/>
      <c r="BL61" s="30"/>
      <c r="BM61" s="30"/>
      <c r="BN61" s="124"/>
      <c r="BO61" s="125"/>
      <c r="BP61" s="125"/>
      <c r="BQ61" s="126"/>
      <c r="BR61" s="126"/>
      <c r="BS61" s="126"/>
      <c r="BT61" s="127">
        <v>58</v>
      </c>
      <c r="BU61" s="127"/>
      <c r="BV61" s="127"/>
      <c r="BW61" s="179">
        <f t="shared" si="101"/>
        <v>23</v>
      </c>
      <c r="BX61" s="7">
        <f t="shared" si="102"/>
        <v>9</v>
      </c>
      <c r="BY61" s="20">
        <f t="shared" si="51"/>
        <v>135</v>
      </c>
      <c r="BZ61" s="2" t="str">
        <f t="shared" si="52"/>
        <v>135.2.5</v>
      </c>
      <c r="CA61" s="181">
        <f t="shared" si="53"/>
        <v>2</v>
      </c>
      <c r="CB61" s="2">
        <f t="shared" si="103"/>
        <v>5</v>
      </c>
      <c r="CC61" s="2" t="str">
        <f t="shared" si="54"/>
        <v>135.9.28</v>
      </c>
      <c r="CD61" s="181">
        <f t="shared" si="95"/>
        <v>9</v>
      </c>
      <c r="CE61" s="2">
        <f t="shared" si="96"/>
        <v>28</v>
      </c>
      <c r="CF61" s="2" t="str">
        <f t="shared" si="104"/>
        <v>生日</v>
      </c>
      <c r="CG61" s="2" t="str">
        <f t="shared" si="105"/>
        <v>135.2.5</v>
      </c>
      <c r="CH61" s="2">
        <f t="shared" si="106"/>
        <v>2</v>
      </c>
      <c r="CI61" s="2" t="str">
        <f t="shared" si="107"/>
        <v>初任</v>
      </c>
      <c r="CJ61" s="2" t="str">
        <f t="shared" si="108"/>
        <v>135.9.28</v>
      </c>
      <c r="CK61" s="2">
        <f t="shared" si="109"/>
        <v>9</v>
      </c>
      <c r="CL61" s="2">
        <f t="shared" si="110"/>
        <v>0</v>
      </c>
      <c r="CM61" s="339">
        <f t="shared" si="62"/>
      </c>
      <c r="CN61" s="2">
        <f t="shared" si="63"/>
      </c>
      <c r="CO61" s="2">
        <f t="shared" si="64"/>
      </c>
      <c r="CP61" s="2">
        <f t="shared" si="65"/>
      </c>
      <c r="CQ61" s="2">
        <f t="shared" si="66"/>
      </c>
      <c r="CR61" s="2">
        <f t="shared" si="7"/>
      </c>
      <c r="CS61" s="128">
        <f t="shared" si="8"/>
      </c>
      <c r="CT61" s="2">
        <f t="shared" si="67"/>
      </c>
      <c r="CU61" s="2">
        <f t="shared" si="68"/>
      </c>
      <c r="CV61" s="128">
        <f t="shared" si="69"/>
      </c>
      <c r="CW61" s="2" t="str">
        <f t="shared" si="97"/>
        <v>135.1.1</v>
      </c>
      <c r="CX61" s="2">
        <f t="shared" si="70"/>
        <v>1</v>
      </c>
      <c r="CY61" s="128" t="str">
        <f t="shared" si="71"/>
        <v>135.2.1。【說明：原實際條件成就時間為135.1.1，惟因必須配合學期而延至當學期結束之次日，始能退休生效，爰推算為135.2.1】</v>
      </c>
      <c r="CZ61" s="2">
        <f t="shared" si="72"/>
      </c>
      <c r="DA61" s="2">
        <f t="shared" si="73"/>
      </c>
      <c r="DB61" s="128">
        <f t="shared" si="74"/>
      </c>
      <c r="DC61" s="2">
        <f t="shared" si="75"/>
      </c>
      <c r="DD61" s="2">
        <f t="shared" si="76"/>
      </c>
      <c r="DE61" s="128">
        <f t="shared" si="77"/>
      </c>
      <c r="DF61" s="2"/>
      <c r="DG61" s="2"/>
      <c r="DH61" s="128"/>
      <c r="DI61" s="2">
        <f t="shared" si="78"/>
      </c>
      <c r="DJ61" s="2">
        <f t="shared" si="79"/>
      </c>
      <c r="DK61" s="128">
        <f t="shared" si="80"/>
      </c>
      <c r="DL61" s="128"/>
      <c r="DM61" s="21" t="str">
        <f t="shared" si="81"/>
        <v>135.2.1。【說明：原實際條件成就時間為135.1.1，惟因必須配合學期而延至當學期結束之次日，始能退休生效，爰推算為135.2.1】</v>
      </c>
      <c r="DN61" s="2" t="str">
        <f t="shared" si="82"/>
        <v>135.1.1</v>
      </c>
      <c r="DO61" s="2"/>
      <c r="DP61" s="2"/>
      <c r="DQ61" s="2"/>
      <c r="DR61" s="2"/>
      <c r="DS61" s="2"/>
      <c r="DT61" s="2"/>
      <c r="DU61" s="2"/>
      <c r="DV61" s="10"/>
      <c r="DW61" s="2">
        <f t="shared" si="83"/>
        <v>135</v>
      </c>
      <c r="DX61" s="2">
        <f t="shared" si="84"/>
      </c>
      <c r="DY61" s="34"/>
      <c r="DZ61" s="7">
        <f t="shared" si="85"/>
        <v>1</v>
      </c>
      <c r="EA61" s="123">
        <f t="shared" si="86"/>
        <v>0</v>
      </c>
      <c r="EB61" s="211">
        <f t="shared" si="87"/>
      </c>
      <c r="EC61" s="210">
        <f t="shared" si="88"/>
      </c>
      <c r="ED61" s="210" t="e">
        <f t="shared" si="89"/>
        <v>#VALUE!</v>
      </c>
      <c r="EE61" s="34"/>
      <c r="EF61" s="34"/>
      <c r="EG61" s="34"/>
      <c r="EH61" s="34"/>
      <c r="EI61" s="118">
        <f t="shared" si="90"/>
        <v>0</v>
      </c>
      <c r="EJ61" s="34"/>
      <c r="EK61" s="313">
        <f t="shared" si="91"/>
        <v>58</v>
      </c>
      <c r="EL61" s="34"/>
      <c r="EM61" s="34"/>
      <c r="EN61" s="30">
        <f t="shared" si="92"/>
      </c>
      <c r="EO61" s="30">
        <f t="shared" si="9"/>
      </c>
      <c r="EP61" s="20">
        <f t="shared" si="93"/>
      </c>
      <c r="EQ61" s="315"/>
    </row>
    <row r="62" spans="1:147" s="29" customFormat="1" ht="15" customHeight="1">
      <c r="A62" s="143"/>
      <c r="B62" s="149">
        <f t="shared" si="98"/>
        <v>136</v>
      </c>
      <c r="C62" s="26">
        <f t="shared" si="94"/>
        <v>20471231</v>
      </c>
      <c r="D62" s="26" t="str">
        <f t="shared" si="10"/>
        <v>2047</v>
      </c>
      <c r="E62" s="26" t="str">
        <f t="shared" si="11"/>
        <v>12</v>
      </c>
      <c r="F62" s="26" t="str">
        <f t="shared" si="12"/>
        <v>31</v>
      </c>
      <c r="G62" s="300">
        <f t="shared" si="13"/>
        <v>54057</v>
      </c>
      <c r="H62" s="116">
        <f t="shared" si="0"/>
        <v>46</v>
      </c>
      <c r="I62" s="116">
        <f t="shared" si="14"/>
        <v>4</v>
      </c>
      <c r="J62" s="26">
        <f t="shared" si="111"/>
        <v>30</v>
      </c>
      <c r="K62" s="117">
        <f t="shared" si="15"/>
        <v>48</v>
      </c>
      <c r="L62" s="117">
        <f t="shared" si="16"/>
        <v>3</v>
      </c>
      <c r="M62" s="117">
        <f t="shared" si="17"/>
        <v>8</v>
      </c>
      <c r="N62" s="571" t="str">
        <f t="shared" si="99"/>
        <v>136.1.1~136.12.31</v>
      </c>
      <c r="O62" s="572"/>
      <c r="P62" s="572"/>
      <c r="Q62" s="573"/>
      <c r="R62" s="390"/>
      <c r="S62" s="391">
        <f t="shared" si="18"/>
        <v>78</v>
      </c>
      <c r="T62" s="392">
        <f t="shared" si="19"/>
        <v>48</v>
      </c>
      <c r="U62" s="393">
        <f t="shared" si="20"/>
        <v>126</v>
      </c>
      <c r="V62" s="148">
        <f t="shared" si="21"/>
      </c>
      <c r="W62" s="430">
        <f t="shared" si="22"/>
      </c>
      <c r="X62" s="402"/>
      <c r="Y62" s="402"/>
      <c r="Z62" s="431"/>
      <c r="AA62" s="276">
        <f t="shared" si="23"/>
      </c>
      <c r="AB62" s="249">
        <f t="shared" si="24"/>
      </c>
      <c r="AC62" s="330">
        <f t="shared" si="25"/>
      </c>
      <c r="AD62" s="102"/>
      <c r="AE62" s="118">
        <f t="shared" si="26"/>
        <v>0</v>
      </c>
      <c r="AF62" s="118">
        <f t="shared" si="27"/>
        <v>0</v>
      </c>
      <c r="AG62" s="118">
        <f t="shared" si="28"/>
        <v>1</v>
      </c>
      <c r="AH62" s="118">
        <f>IF(OR(AE62+AF62+AG62&gt;0,SUM($AE$30:AG61)&gt;0),1,0)</f>
        <v>1</v>
      </c>
      <c r="AI62" s="118">
        <f t="shared" si="29"/>
      </c>
      <c r="AJ62" s="118">
        <f t="shared" si="30"/>
      </c>
      <c r="AK62" s="118" t="str">
        <f t="shared" si="31"/>
        <v>符合「年齡滿65歲、年資滿15年」之擇領月退休金條件</v>
      </c>
      <c r="AL62" s="118" t="str">
        <f t="shared" si="32"/>
        <v>符合「年齡滿65歲、年資滿15年」之擇領月退休金條件</v>
      </c>
      <c r="AM62" s="119">
        <f t="shared" si="33"/>
        <v>0</v>
      </c>
      <c r="AN62" s="119">
        <f t="shared" si="34"/>
        <v>1</v>
      </c>
      <c r="AO62" s="119" t="str">
        <f t="shared" si="35"/>
        <v>符合</v>
      </c>
      <c r="AP62" s="119">
        <f t="shared" si="36"/>
        <v>78</v>
      </c>
      <c r="AQ62" s="119">
        <f t="shared" si="37"/>
        <v>20471231</v>
      </c>
      <c r="AR62" s="119" t="str">
        <f t="shared" si="38"/>
        <v>136.1.1~136.12.31</v>
      </c>
      <c r="AS62" s="120">
        <f t="shared" si="39"/>
      </c>
      <c r="AT62" s="121">
        <f t="shared" si="40"/>
      </c>
      <c r="AU62" s="121">
        <f t="shared" si="41"/>
        <v>1</v>
      </c>
      <c r="AV62" s="119">
        <f t="shared" si="42"/>
      </c>
      <c r="AW62" s="122">
        <f t="shared" si="43"/>
      </c>
      <c r="AX62" s="31">
        <f t="shared" si="44"/>
        <v>0</v>
      </c>
      <c r="AY62" s="7">
        <f t="shared" si="45"/>
        <v>1</v>
      </c>
      <c r="AZ62" s="123">
        <f t="shared" si="46"/>
        <v>1</v>
      </c>
      <c r="BA62" s="123">
        <f t="shared" si="47"/>
        <v>0</v>
      </c>
      <c r="BB62" s="123">
        <f t="shared" si="48"/>
      </c>
      <c r="BC62" s="33"/>
      <c r="BD62" s="33"/>
      <c r="BE62" s="33"/>
      <c r="BF62" s="33"/>
      <c r="BG62" s="30"/>
      <c r="BH62" s="30"/>
      <c r="BI62" s="30"/>
      <c r="BJ62" s="30"/>
      <c r="BK62" s="30"/>
      <c r="BL62" s="30"/>
      <c r="BM62" s="30"/>
      <c r="BN62" s="124"/>
      <c r="BO62" s="125"/>
      <c r="BP62" s="125"/>
      <c r="BQ62" s="126"/>
      <c r="BR62" s="126"/>
      <c r="BS62" s="126"/>
      <c r="BT62" s="127">
        <v>58</v>
      </c>
      <c r="BU62" s="127"/>
      <c r="BV62" s="127"/>
      <c r="BW62" s="179">
        <f t="shared" si="101"/>
        <v>23</v>
      </c>
      <c r="BX62" s="7">
        <f t="shared" si="102"/>
        <v>9</v>
      </c>
      <c r="BY62" s="20">
        <f t="shared" si="51"/>
        <v>136</v>
      </c>
      <c r="BZ62" s="2" t="str">
        <f t="shared" si="52"/>
        <v>136.2.5</v>
      </c>
      <c r="CA62" s="181">
        <f t="shared" si="53"/>
        <v>2</v>
      </c>
      <c r="CB62" s="2">
        <f t="shared" si="103"/>
        <v>5</v>
      </c>
      <c r="CC62" s="2" t="str">
        <f t="shared" si="54"/>
        <v>136.9.28</v>
      </c>
      <c r="CD62" s="181">
        <f t="shared" si="95"/>
        <v>9</v>
      </c>
      <c r="CE62" s="2">
        <f t="shared" si="96"/>
        <v>28</v>
      </c>
      <c r="CF62" s="2" t="str">
        <f t="shared" si="104"/>
        <v>生日</v>
      </c>
      <c r="CG62" s="2" t="str">
        <f t="shared" si="105"/>
        <v>136.2.5</v>
      </c>
      <c r="CH62" s="2">
        <f t="shared" si="106"/>
        <v>2</v>
      </c>
      <c r="CI62" s="2" t="str">
        <f t="shared" si="107"/>
        <v>初任</v>
      </c>
      <c r="CJ62" s="2" t="str">
        <f t="shared" si="108"/>
        <v>136.9.28</v>
      </c>
      <c r="CK62" s="2">
        <f t="shared" si="109"/>
        <v>9</v>
      </c>
      <c r="CL62" s="2">
        <f t="shared" si="110"/>
        <v>0</v>
      </c>
      <c r="CM62" s="339">
        <f t="shared" si="62"/>
      </c>
      <c r="CN62" s="2">
        <f t="shared" si="63"/>
      </c>
      <c r="CO62" s="2">
        <f t="shared" si="64"/>
      </c>
      <c r="CP62" s="2">
        <f t="shared" si="65"/>
      </c>
      <c r="CQ62" s="2">
        <f t="shared" si="66"/>
      </c>
      <c r="CR62" s="2">
        <f t="shared" si="7"/>
      </c>
      <c r="CS62" s="128">
        <f t="shared" si="8"/>
      </c>
      <c r="CT62" s="2">
        <f t="shared" si="67"/>
      </c>
      <c r="CU62" s="2">
        <f t="shared" si="68"/>
      </c>
      <c r="CV62" s="128">
        <f t="shared" si="69"/>
      </c>
      <c r="CW62" s="2" t="str">
        <f t="shared" si="97"/>
        <v>136.1.1</v>
      </c>
      <c r="CX62" s="2">
        <f t="shared" si="70"/>
        <v>1</v>
      </c>
      <c r="CY62" s="128" t="str">
        <f t="shared" si="71"/>
        <v>136.2.1。【說明：原實際條件成就時間為136.1.1，惟因必須配合學期而延至當學期結束之次日，始能退休生效，爰推算為136.2.1】</v>
      </c>
      <c r="CZ62" s="2">
        <f t="shared" si="72"/>
      </c>
      <c r="DA62" s="2">
        <f t="shared" si="73"/>
      </c>
      <c r="DB62" s="128">
        <f t="shared" si="74"/>
      </c>
      <c r="DC62" s="2">
        <f t="shared" si="75"/>
      </c>
      <c r="DD62" s="2">
        <f t="shared" si="76"/>
      </c>
      <c r="DE62" s="128">
        <f t="shared" si="77"/>
      </c>
      <c r="DF62" s="2"/>
      <c r="DG62" s="2"/>
      <c r="DH62" s="128"/>
      <c r="DI62" s="2">
        <f t="shared" si="78"/>
      </c>
      <c r="DJ62" s="2">
        <f t="shared" si="79"/>
      </c>
      <c r="DK62" s="128">
        <f t="shared" si="80"/>
      </c>
      <c r="DL62" s="128"/>
      <c r="DM62" s="21" t="str">
        <f t="shared" si="81"/>
        <v>136.2.1。【說明：原實際條件成就時間為136.1.1，惟因必須配合學期而延至當學期結束之次日，始能退休生效，爰推算為136.2.1】</v>
      </c>
      <c r="DN62" s="2" t="str">
        <f t="shared" si="82"/>
        <v>136.1.1</v>
      </c>
      <c r="DO62" s="2"/>
      <c r="DP62" s="2"/>
      <c r="DQ62" s="2"/>
      <c r="DR62" s="2"/>
      <c r="DS62" s="2"/>
      <c r="DT62" s="2"/>
      <c r="DU62" s="2"/>
      <c r="DV62" s="10"/>
      <c r="DW62" s="2">
        <f t="shared" si="83"/>
        <v>136</v>
      </c>
      <c r="DX62" s="2">
        <f t="shared" si="84"/>
      </c>
      <c r="DY62" s="34"/>
      <c r="DZ62" s="7">
        <f t="shared" si="85"/>
        <v>1</v>
      </c>
      <c r="EA62" s="123">
        <f t="shared" si="86"/>
        <v>0</v>
      </c>
      <c r="EB62" s="211">
        <f t="shared" si="87"/>
      </c>
      <c r="EC62" s="210">
        <f t="shared" si="88"/>
      </c>
      <c r="ED62" s="210" t="e">
        <f t="shared" si="89"/>
        <v>#VALUE!</v>
      </c>
      <c r="EE62" s="34"/>
      <c r="EF62" s="34"/>
      <c r="EG62" s="34"/>
      <c r="EH62" s="34"/>
      <c r="EI62" s="118">
        <f t="shared" si="90"/>
        <v>0</v>
      </c>
      <c r="EJ62" s="34"/>
      <c r="EK62" s="313">
        <f t="shared" si="91"/>
        <v>58</v>
      </c>
      <c r="EL62" s="34"/>
      <c r="EM62" s="34"/>
      <c r="EN62" s="30">
        <f t="shared" si="92"/>
      </c>
      <c r="EO62" s="30">
        <f t="shared" si="9"/>
      </c>
      <c r="EP62" s="20">
        <f t="shared" si="93"/>
      </c>
      <c r="EQ62" s="315"/>
    </row>
    <row r="63" spans="1:147" s="29" customFormat="1" ht="15" customHeight="1">
      <c r="A63" s="143"/>
      <c r="B63" s="149">
        <f t="shared" si="98"/>
        <v>137</v>
      </c>
      <c r="C63" s="26">
        <f t="shared" si="94"/>
        <v>20481231</v>
      </c>
      <c r="D63" s="26" t="str">
        <f t="shared" si="10"/>
        <v>2048</v>
      </c>
      <c r="E63" s="26" t="str">
        <f t="shared" si="11"/>
        <v>12</v>
      </c>
      <c r="F63" s="26" t="str">
        <f t="shared" si="12"/>
        <v>31</v>
      </c>
      <c r="G63" s="300">
        <f t="shared" si="13"/>
        <v>54423</v>
      </c>
      <c r="H63" s="116">
        <f t="shared" si="0"/>
        <v>47</v>
      </c>
      <c r="I63" s="116">
        <f t="shared" si="14"/>
        <v>4</v>
      </c>
      <c r="J63" s="26">
        <f t="shared" si="111"/>
        <v>30</v>
      </c>
      <c r="K63" s="117">
        <f t="shared" si="15"/>
        <v>49</v>
      </c>
      <c r="L63" s="117">
        <f t="shared" si="16"/>
        <v>3</v>
      </c>
      <c r="M63" s="117">
        <f t="shared" si="17"/>
        <v>8</v>
      </c>
      <c r="N63" s="571" t="str">
        <f t="shared" si="99"/>
        <v>137.1.1~137.12.31</v>
      </c>
      <c r="O63" s="572"/>
      <c r="P63" s="572"/>
      <c r="Q63" s="573"/>
      <c r="R63" s="390"/>
      <c r="S63" s="391">
        <f t="shared" si="18"/>
        <v>79</v>
      </c>
      <c r="T63" s="392">
        <f t="shared" si="19"/>
        <v>49</v>
      </c>
      <c r="U63" s="393">
        <f t="shared" si="20"/>
        <v>128</v>
      </c>
      <c r="V63" s="148">
        <f t="shared" si="21"/>
      </c>
      <c r="W63" s="430">
        <f t="shared" si="22"/>
      </c>
      <c r="X63" s="402"/>
      <c r="Y63" s="402"/>
      <c r="Z63" s="431"/>
      <c r="AA63" s="276">
        <f t="shared" si="23"/>
      </c>
      <c r="AB63" s="249">
        <f t="shared" si="24"/>
      </c>
      <c r="AC63" s="330">
        <f t="shared" si="25"/>
      </c>
      <c r="AD63" s="102"/>
      <c r="AE63" s="118">
        <f t="shared" si="26"/>
        <v>0</v>
      </c>
      <c r="AF63" s="118">
        <f t="shared" si="27"/>
        <v>0</v>
      </c>
      <c r="AG63" s="118">
        <f t="shared" si="28"/>
        <v>1</v>
      </c>
      <c r="AH63" s="118">
        <f>IF(OR(AE63+AF63+AG63&gt;0,SUM($AE$30:AG62)&gt;0),1,0)</f>
        <v>1</v>
      </c>
      <c r="AI63" s="118">
        <f t="shared" si="29"/>
      </c>
      <c r="AJ63" s="118">
        <f t="shared" si="30"/>
      </c>
      <c r="AK63" s="118" t="str">
        <f t="shared" si="31"/>
        <v>符合「年齡滿65歲、年資滿15年」之擇領月退休金條件</v>
      </c>
      <c r="AL63" s="118" t="str">
        <f t="shared" si="32"/>
        <v>符合「年齡滿65歲、年資滿15年」之擇領月退休金條件</v>
      </c>
      <c r="AM63" s="119">
        <f t="shared" si="33"/>
        <v>0</v>
      </c>
      <c r="AN63" s="119">
        <f t="shared" si="34"/>
        <v>1</v>
      </c>
      <c r="AO63" s="119" t="str">
        <f t="shared" si="35"/>
        <v>符合</v>
      </c>
      <c r="AP63" s="119">
        <f t="shared" si="36"/>
        <v>79</v>
      </c>
      <c r="AQ63" s="119">
        <f t="shared" si="37"/>
        <v>20481231</v>
      </c>
      <c r="AR63" s="119" t="str">
        <f t="shared" si="38"/>
        <v>137.1.1~137.12.31</v>
      </c>
      <c r="AS63" s="120">
        <f t="shared" si="39"/>
      </c>
      <c r="AT63" s="121">
        <f t="shared" si="40"/>
      </c>
      <c r="AU63" s="121">
        <f t="shared" si="41"/>
        <v>1</v>
      </c>
      <c r="AV63" s="119">
        <f t="shared" si="42"/>
      </c>
      <c r="AW63" s="122">
        <f t="shared" si="43"/>
      </c>
      <c r="AX63" s="31">
        <f t="shared" si="44"/>
        <v>0</v>
      </c>
      <c r="AY63" s="7">
        <f t="shared" si="45"/>
        <v>1</v>
      </c>
      <c r="AZ63" s="123">
        <f t="shared" si="46"/>
        <v>1</v>
      </c>
      <c r="BA63" s="123">
        <f t="shared" si="47"/>
        <v>0</v>
      </c>
      <c r="BB63" s="123">
        <f t="shared" si="48"/>
      </c>
      <c r="BC63" s="33"/>
      <c r="BD63" s="33"/>
      <c r="BE63" s="33"/>
      <c r="BF63" s="33"/>
      <c r="BG63" s="30"/>
      <c r="BH63" s="30"/>
      <c r="BI63" s="30"/>
      <c r="BJ63" s="30"/>
      <c r="BK63" s="30"/>
      <c r="BL63" s="30"/>
      <c r="BM63" s="30"/>
      <c r="BN63" s="124"/>
      <c r="BO63" s="125"/>
      <c r="BP63" s="125"/>
      <c r="BQ63" s="126"/>
      <c r="BR63" s="126"/>
      <c r="BS63" s="126"/>
      <c r="BT63" s="127">
        <v>58</v>
      </c>
      <c r="BU63" s="127"/>
      <c r="BV63" s="127"/>
      <c r="BW63" s="179">
        <f t="shared" si="101"/>
        <v>23</v>
      </c>
      <c r="BX63" s="7">
        <f t="shared" si="102"/>
        <v>9</v>
      </c>
      <c r="BY63" s="20">
        <f t="shared" si="51"/>
        <v>137</v>
      </c>
      <c r="BZ63" s="2" t="str">
        <f t="shared" si="52"/>
        <v>137.2.5</v>
      </c>
      <c r="CA63" s="181">
        <f t="shared" si="53"/>
        <v>2</v>
      </c>
      <c r="CB63" s="2">
        <f t="shared" si="103"/>
        <v>5</v>
      </c>
      <c r="CC63" s="2" t="str">
        <f t="shared" si="54"/>
        <v>137.9.28</v>
      </c>
      <c r="CD63" s="181">
        <f t="shared" si="95"/>
        <v>9</v>
      </c>
      <c r="CE63" s="2">
        <f t="shared" si="96"/>
        <v>28</v>
      </c>
      <c r="CF63" s="2" t="str">
        <f t="shared" si="104"/>
        <v>生日</v>
      </c>
      <c r="CG63" s="2" t="str">
        <f t="shared" si="105"/>
        <v>137.2.5</v>
      </c>
      <c r="CH63" s="2">
        <f t="shared" si="106"/>
        <v>2</v>
      </c>
      <c r="CI63" s="2" t="str">
        <f t="shared" si="107"/>
        <v>初任</v>
      </c>
      <c r="CJ63" s="2" t="str">
        <f t="shared" si="108"/>
        <v>137.9.28</v>
      </c>
      <c r="CK63" s="2">
        <f t="shared" si="109"/>
        <v>9</v>
      </c>
      <c r="CL63" s="2">
        <f t="shared" si="110"/>
        <v>0</v>
      </c>
      <c r="CM63" s="339">
        <f t="shared" si="62"/>
      </c>
      <c r="CN63" s="2">
        <f t="shared" si="63"/>
      </c>
      <c r="CO63" s="2">
        <f t="shared" si="64"/>
      </c>
      <c r="CP63" s="2">
        <f t="shared" si="65"/>
      </c>
      <c r="CQ63" s="2">
        <f t="shared" si="66"/>
      </c>
      <c r="CR63" s="2">
        <f t="shared" si="7"/>
      </c>
      <c r="CS63" s="128">
        <f t="shared" si="8"/>
      </c>
      <c r="CT63" s="2">
        <f t="shared" si="67"/>
      </c>
      <c r="CU63" s="2">
        <f t="shared" si="68"/>
      </c>
      <c r="CV63" s="128">
        <f t="shared" si="69"/>
      </c>
      <c r="CW63" s="2" t="str">
        <f t="shared" si="97"/>
        <v>137.1.1</v>
      </c>
      <c r="CX63" s="2">
        <f t="shared" si="70"/>
        <v>1</v>
      </c>
      <c r="CY63" s="128" t="str">
        <f t="shared" si="71"/>
        <v>137.2.1。【說明：原實際條件成就時間為137.1.1，惟因必須配合學期而延至當學期結束之次日，始能退休生效，爰推算為137.2.1】</v>
      </c>
      <c r="CZ63" s="2">
        <f t="shared" si="72"/>
      </c>
      <c r="DA63" s="2">
        <f t="shared" si="73"/>
      </c>
      <c r="DB63" s="128">
        <f t="shared" si="74"/>
      </c>
      <c r="DC63" s="2">
        <f t="shared" si="75"/>
      </c>
      <c r="DD63" s="2">
        <f t="shared" si="76"/>
      </c>
      <c r="DE63" s="128">
        <f t="shared" si="77"/>
      </c>
      <c r="DF63" s="2"/>
      <c r="DG63" s="2"/>
      <c r="DH63" s="128"/>
      <c r="DI63" s="2">
        <f t="shared" si="78"/>
      </c>
      <c r="DJ63" s="2">
        <f t="shared" si="79"/>
      </c>
      <c r="DK63" s="128">
        <f t="shared" si="80"/>
      </c>
      <c r="DL63" s="128"/>
      <c r="DM63" s="21" t="str">
        <f t="shared" si="81"/>
        <v>137.2.1。【說明：原實際條件成就時間為137.1.1，惟因必須配合學期而延至當學期結束之次日，始能退休生效，爰推算為137.2.1】</v>
      </c>
      <c r="DN63" s="2" t="str">
        <f t="shared" si="82"/>
        <v>137.1.1</v>
      </c>
      <c r="DO63" s="2"/>
      <c r="DP63" s="2"/>
      <c r="DQ63" s="2"/>
      <c r="DR63" s="2"/>
      <c r="DS63" s="2"/>
      <c r="DT63" s="2"/>
      <c r="DU63" s="2"/>
      <c r="DV63" s="10"/>
      <c r="DW63" s="2">
        <f t="shared" si="83"/>
        <v>137</v>
      </c>
      <c r="DX63" s="2">
        <f t="shared" si="84"/>
      </c>
      <c r="DY63" s="34"/>
      <c r="DZ63" s="7">
        <f t="shared" si="85"/>
        <v>1</v>
      </c>
      <c r="EA63" s="123">
        <f t="shared" si="86"/>
        <v>0</v>
      </c>
      <c r="EB63" s="211">
        <f t="shared" si="87"/>
      </c>
      <c r="EC63" s="210">
        <f t="shared" si="88"/>
      </c>
      <c r="ED63" s="210" t="e">
        <f t="shared" si="89"/>
        <v>#VALUE!</v>
      </c>
      <c r="EE63" s="34"/>
      <c r="EF63" s="34"/>
      <c r="EG63" s="34"/>
      <c r="EH63" s="34"/>
      <c r="EI63" s="118">
        <f t="shared" si="90"/>
        <v>0</v>
      </c>
      <c r="EJ63" s="34"/>
      <c r="EK63" s="313">
        <f t="shared" si="91"/>
        <v>58</v>
      </c>
      <c r="EL63" s="34"/>
      <c r="EM63" s="34"/>
      <c r="EN63" s="30">
        <f t="shared" si="92"/>
      </c>
      <c r="EO63" s="30">
        <f t="shared" si="9"/>
      </c>
      <c r="EP63" s="20">
        <f t="shared" si="93"/>
      </c>
      <c r="EQ63" s="315"/>
    </row>
    <row r="64" spans="1:147" s="29" customFormat="1" ht="15" customHeight="1">
      <c r="A64" s="143"/>
      <c r="B64" s="149">
        <f t="shared" si="98"/>
        <v>138</v>
      </c>
      <c r="C64" s="26">
        <f t="shared" si="94"/>
        <v>20491231</v>
      </c>
      <c r="D64" s="26" t="str">
        <f t="shared" si="10"/>
        <v>2049</v>
      </c>
      <c r="E64" s="26" t="str">
        <f t="shared" si="11"/>
        <v>12</v>
      </c>
      <c r="F64" s="26" t="str">
        <f t="shared" si="12"/>
        <v>31</v>
      </c>
      <c r="G64" s="300">
        <f t="shared" si="13"/>
        <v>54788</v>
      </c>
      <c r="H64" s="116">
        <f t="shared" si="0"/>
        <v>48</v>
      </c>
      <c r="I64" s="116">
        <f t="shared" si="14"/>
        <v>4</v>
      </c>
      <c r="J64" s="26">
        <f t="shared" si="111"/>
        <v>30</v>
      </c>
      <c r="K64" s="117">
        <f t="shared" si="15"/>
        <v>50</v>
      </c>
      <c r="L64" s="117">
        <f t="shared" si="16"/>
        <v>3</v>
      </c>
      <c r="M64" s="117">
        <f t="shared" si="17"/>
        <v>8</v>
      </c>
      <c r="N64" s="571" t="str">
        <f t="shared" si="99"/>
        <v>138.1.1~138.12.31</v>
      </c>
      <c r="O64" s="572"/>
      <c r="P64" s="572"/>
      <c r="Q64" s="573"/>
      <c r="R64" s="390"/>
      <c r="S64" s="391">
        <f t="shared" si="18"/>
        <v>80</v>
      </c>
      <c r="T64" s="392">
        <f t="shared" si="19"/>
        <v>50</v>
      </c>
      <c r="U64" s="393">
        <f t="shared" si="20"/>
        <v>130</v>
      </c>
      <c r="V64" s="148">
        <f t="shared" si="21"/>
      </c>
      <c r="W64" s="430">
        <f t="shared" si="22"/>
      </c>
      <c r="X64" s="402"/>
      <c r="Y64" s="402"/>
      <c r="Z64" s="431"/>
      <c r="AA64" s="276">
        <f t="shared" si="23"/>
      </c>
      <c r="AB64" s="249">
        <f t="shared" si="24"/>
      </c>
      <c r="AC64" s="330">
        <f t="shared" si="25"/>
      </c>
      <c r="AD64" s="102"/>
      <c r="AE64" s="118">
        <f t="shared" si="26"/>
        <v>0</v>
      </c>
      <c r="AF64" s="118">
        <f t="shared" si="27"/>
        <v>0</v>
      </c>
      <c r="AG64" s="118">
        <f t="shared" si="28"/>
        <v>1</v>
      </c>
      <c r="AH64" s="118">
        <f>IF(OR(AE64+AF64+AG64&gt;0,SUM($AE$30:AG63)&gt;0),1,0)</f>
        <v>1</v>
      </c>
      <c r="AI64" s="118">
        <f t="shared" si="29"/>
      </c>
      <c r="AJ64" s="118">
        <f t="shared" si="30"/>
      </c>
      <c r="AK64" s="118" t="str">
        <f t="shared" si="31"/>
        <v>符合「年齡滿65歲、年資滿15年」之擇領月退休金條件</v>
      </c>
      <c r="AL64" s="118" t="str">
        <f t="shared" si="32"/>
        <v>符合「年齡滿65歲、年資滿15年」之擇領月退休金條件</v>
      </c>
      <c r="AM64" s="119">
        <f t="shared" si="33"/>
        <v>0</v>
      </c>
      <c r="AN64" s="119">
        <f t="shared" si="34"/>
        <v>1</v>
      </c>
      <c r="AO64" s="119" t="str">
        <f t="shared" si="35"/>
        <v>符合</v>
      </c>
      <c r="AP64" s="119">
        <f t="shared" si="36"/>
        <v>80</v>
      </c>
      <c r="AQ64" s="119">
        <f t="shared" si="37"/>
        <v>20491231</v>
      </c>
      <c r="AR64" s="119" t="str">
        <f t="shared" si="38"/>
        <v>138.1.1~138.12.31</v>
      </c>
      <c r="AS64" s="120">
        <f t="shared" si="39"/>
      </c>
      <c r="AT64" s="121">
        <f t="shared" si="40"/>
      </c>
      <c r="AU64" s="121">
        <f t="shared" si="41"/>
        <v>1</v>
      </c>
      <c r="AV64" s="119">
        <f t="shared" si="42"/>
      </c>
      <c r="AW64" s="122">
        <f t="shared" si="43"/>
      </c>
      <c r="AX64" s="31">
        <f t="shared" si="44"/>
        <v>0</v>
      </c>
      <c r="AY64" s="7">
        <f t="shared" si="45"/>
        <v>1</v>
      </c>
      <c r="AZ64" s="123">
        <f t="shared" si="46"/>
        <v>1</v>
      </c>
      <c r="BA64" s="123">
        <f t="shared" si="47"/>
        <v>0</v>
      </c>
      <c r="BB64" s="123">
        <f t="shared" si="48"/>
      </c>
      <c r="BC64" s="33"/>
      <c r="BD64" s="33"/>
      <c r="BE64" s="33"/>
      <c r="BF64" s="33"/>
      <c r="BG64" s="30"/>
      <c r="BH64" s="30"/>
      <c r="BI64" s="30"/>
      <c r="BJ64" s="30"/>
      <c r="BK64" s="30"/>
      <c r="BL64" s="30"/>
      <c r="BM64" s="30"/>
      <c r="BN64" s="124"/>
      <c r="BO64" s="125"/>
      <c r="BP64" s="125"/>
      <c r="BQ64" s="126"/>
      <c r="BR64" s="126"/>
      <c r="BS64" s="126"/>
      <c r="BT64" s="127">
        <v>58</v>
      </c>
      <c r="BU64" s="127"/>
      <c r="BV64" s="127"/>
      <c r="BW64" s="179">
        <f t="shared" si="101"/>
        <v>23</v>
      </c>
      <c r="BX64" s="7">
        <f t="shared" si="102"/>
        <v>9</v>
      </c>
      <c r="BY64" s="20">
        <f t="shared" si="51"/>
        <v>138</v>
      </c>
      <c r="BZ64" s="2" t="str">
        <f t="shared" si="52"/>
        <v>138.2.5</v>
      </c>
      <c r="CA64" s="181">
        <f t="shared" si="53"/>
        <v>2</v>
      </c>
      <c r="CB64" s="2">
        <f t="shared" si="103"/>
        <v>5</v>
      </c>
      <c r="CC64" s="2" t="str">
        <f t="shared" si="54"/>
        <v>138.9.28</v>
      </c>
      <c r="CD64" s="181">
        <f t="shared" si="95"/>
        <v>9</v>
      </c>
      <c r="CE64" s="2">
        <f t="shared" si="96"/>
        <v>28</v>
      </c>
      <c r="CF64" s="2" t="str">
        <f t="shared" si="104"/>
        <v>生日</v>
      </c>
      <c r="CG64" s="2" t="str">
        <f t="shared" si="105"/>
        <v>138.2.5</v>
      </c>
      <c r="CH64" s="2">
        <f t="shared" si="106"/>
        <v>2</v>
      </c>
      <c r="CI64" s="2" t="str">
        <f t="shared" si="107"/>
        <v>初任</v>
      </c>
      <c r="CJ64" s="2" t="str">
        <f t="shared" si="108"/>
        <v>138.9.28</v>
      </c>
      <c r="CK64" s="2">
        <f t="shared" si="109"/>
        <v>9</v>
      </c>
      <c r="CL64" s="2">
        <f t="shared" si="110"/>
        <v>0</v>
      </c>
      <c r="CM64" s="339">
        <f t="shared" si="62"/>
      </c>
      <c r="CN64" s="2">
        <f t="shared" si="63"/>
      </c>
      <c r="CO64" s="2">
        <f t="shared" si="64"/>
      </c>
      <c r="CP64" s="2">
        <f t="shared" si="65"/>
      </c>
      <c r="CQ64" s="2">
        <f t="shared" si="66"/>
      </c>
      <c r="CR64" s="2">
        <f t="shared" si="7"/>
      </c>
      <c r="CS64" s="128">
        <f t="shared" si="8"/>
      </c>
      <c r="CT64" s="2">
        <f t="shared" si="67"/>
      </c>
      <c r="CU64" s="2">
        <f t="shared" si="68"/>
      </c>
      <c r="CV64" s="128">
        <f t="shared" si="69"/>
      </c>
      <c r="CW64" s="2" t="str">
        <f t="shared" si="97"/>
        <v>138.1.1</v>
      </c>
      <c r="CX64" s="2">
        <f t="shared" si="70"/>
        <v>1</v>
      </c>
      <c r="CY64" s="128" t="str">
        <f t="shared" si="71"/>
        <v>138.2.1。【說明：原實際條件成就時間為138.1.1，惟因必須配合學期而延至當學期結束之次日，始能退休生效，爰推算為138.2.1】</v>
      </c>
      <c r="CZ64" s="2">
        <f t="shared" si="72"/>
      </c>
      <c r="DA64" s="2">
        <f t="shared" si="73"/>
      </c>
      <c r="DB64" s="128">
        <f t="shared" si="74"/>
      </c>
      <c r="DC64" s="2">
        <f t="shared" si="75"/>
      </c>
      <c r="DD64" s="2">
        <f t="shared" si="76"/>
      </c>
      <c r="DE64" s="128">
        <f t="shared" si="77"/>
      </c>
      <c r="DF64" s="2"/>
      <c r="DG64" s="2"/>
      <c r="DH64" s="128"/>
      <c r="DI64" s="2">
        <f t="shared" si="78"/>
      </c>
      <c r="DJ64" s="2">
        <f t="shared" si="79"/>
      </c>
      <c r="DK64" s="128">
        <f t="shared" si="80"/>
      </c>
      <c r="DL64" s="128"/>
      <c r="DM64" s="21" t="str">
        <f t="shared" si="81"/>
        <v>138.2.1。【說明：原實際條件成就時間為138.1.1，惟因必須配合學期而延至當學期結束之次日，始能退休生效，爰推算為138.2.1】</v>
      </c>
      <c r="DN64" s="2" t="str">
        <f t="shared" si="82"/>
        <v>138.1.1</v>
      </c>
      <c r="DO64" s="2"/>
      <c r="DP64" s="2"/>
      <c r="DQ64" s="2"/>
      <c r="DR64" s="2"/>
      <c r="DS64" s="2"/>
      <c r="DT64" s="2"/>
      <c r="DU64" s="2"/>
      <c r="DV64" s="10"/>
      <c r="DW64" s="2">
        <f t="shared" si="83"/>
        <v>138</v>
      </c>
      <c r="DX64" s="2">
        <f t="shared" si="84"/>
      </c>
      <c r="DY64" s="34"/>
      <c r="DZ64" s="7">
        <f t="shared" si="85"/>
        <v>1</v>
      </c>
      <c r="EA64" s="123">
        <f t="shared" si="86"/>
        <v>0</v>
      </c>
      <c r="EB64" s="211">
        <f t="shared" si="87"/>
      </c>
      <c r="EC64" s="210">
        <f t="shared" si="88"/>
      </c>
      <c r="ED64" s="210" t="e">
        <f t="shared" si="89"/>
        <v>#VALUE!</v>
      </c>
      <c r="EE64" s="34"/>
      <c r="EF64" s="34"/>
      <c r="EG64" s="34"/>
      <c r="EH64" s="34"/>
      <c r="EI64" s="118">
        <f t="shared" si="90"/>
        <v>0</v>
      </c>
      <c r="EJ64" s="34"/>
      <c r="EK64" s="313">
        <f t="shared" si="91"/>
        <v>58</v>
      </c>
      <c r="EL64" s="34"/>
      <c r="EM64" s="34"/>
      <c r="EN64" s="30">
        <f t="shared" si="92"/>
      </c>
      <c r="EO64" s="30">
        <f t="shared" si="9"/>
      </c>
      <c r="EP64" s="20">
        <f t="shared" si="93"/>
      </c>
      <c r="EQ64" s="315"/>
    </row>
    <row r="65" spans="1:147" s="29" customFormat="1" ht="15" customHeight="1">
      <c r="A65" s="143"/>
      <c r="B65" s="149">
        <f t="shared" si="98"/>
        <v>139</v>
      </c>
      <c r="C65" s="26">
        <f t="shared" si="94"/>
        <v>20501231</v>
      </c>
      <c r="D65" s="26" t="str">
        <f t="shared" si="10"/>
        <v>2050</v>
      </c>
      <c r="E65" s="26" t="str">
        <f t="shared" si="11"/>
        <v>12</v>
      </c>
      <c r="F65" s="26" t="str">
        <f t="shared" si="12"/>
        <v>31</v>
      </c>
      <c r="G65" s="300">
        <f t="shared" si="13"/>
        <v>55153</v>
      </c>
      <c r="H65" s="116">
        <f t="shared" si="0"/>
        <v>49</v>
      </c>
      <c r="I65" s="116">
        <f t="shared" si="14"/>
        <v>4</v>
      </c>
      <c r="J65" s="26">
        <f t="shared" si="111"/>
        <v>30</v>
      </c>
      <c r="K65" s="117">
        <f t="shared" si="15"/>
        <v>51</v>
      </c>
      <c r="L65" s="117">
        <f t="shared" si="16"/>
        <v>3</v>
      </c>
      <c r="M65" s="117">
        <f t="shared" si="17"/>
        <v>8</v>
      </c>
      <c r="N65" s="571" t="str">
        <f t="shared" si="99"/>
        <v>139.1.1~139.12.31</v>
      </c>
      <c r="O65" s="572"/>
      <c r="P65" s="572"/>
      <c r="Q65" s="573"/>
      <c r="R65" s="390"/>
      <c r="S65" s="391">
        <f t="shared" si="18"/>
        <v>81</v>
      </c>
      <c r="T65" s="392">
        <f t="shared" si="19"/>
        <v>51</v>
      </c>
      <c r="U65" s="393">
        <f t="shared" si="20"/>
        <v>132</v>
      </c>
      <c r="V65" s="148">
        <f t="shared" si="21"/>
      </c>
      <c r="W65" s="430">
        <f t="shared" si="22"/>
      </c>
      <c r="X65" s="402"/>
      <c r="Y65" s="402"/>
      <c r="Z65" s="431"/>
      <c r="AA65" s="276">
        <f t="shared" si="23"/>
      </c>
      <c r="AB65" s="249">
        <f t="shared" si="24"/>
      </c>
      <c r="AC65" s="330">
        <f t="shared" si="25"/>
      </c>
      <c r="AD65" s="102"/>
      <c r="AE65" s="118">
        <f t="shared" si="26"/>
        <v>0</v>
      </c>
      <c r="AF65" s="118">
        <f t="shared" si="27"/>
        <v>0</v>
      </c>
      <c r="AG65" s="118">
        <f t="shared" si="28"/>
        <v>1</v>
      </c>
      <c r="AH65" s="118">
        <f>IF(OR(AE65+AF65+AG65&gt;0,SUM($AE$30:AG64)&gt;0),1,0)</f>
        <v>1</v>
      </c>
      <c r="AI65" s="118">
        <f t="shared" si="29"/>
      </c>
      <c r="AJ65" s="118">
        <f t="shared" si="30"/>
      </c>
      <c r="AK65" s="118" t="str">
        <f t="shared" si="31"/>
        <v>符合「年齡滿65歲、年資滿15年」之擇領月退休金條件</v>
      </c>
      <c r="AL65" s="118" t="str">
        <f t="shared" si="32"/>
        <v>符合「年齡滿65歲、年資滿15年」之擇領月退休金條件</v>
      </c>
      <c r="AM65" s="119">
        <f t="shared" si="33"/>
        <v>0</v>
      </c>
      <c r="AN65" s="119">
        <f t="shared" si="34"/>
        <v>1</v>
      </c>
      <c r="AO65" s="119" t="str">
        <f t="shared" si="35"/>
        <v>符合</v>
      </c>
      <c r="AP65" s="119">
        <f t="shared" si="36"/>
        <v>81</v>
      </c>
      <c r="AQ65" s="119">
        <f t="shared" si="37"/>
        <v>20501231</v>
      </c>
      <c r="AR65" s="119" t="str">
        <f t="shared" si="38"/>
        <v>139.1.1~139.12.31</v>
      </c>
      <c r="AS65" s="120">
        <f t="shared" si="39"/>
      </c>
      <c r="AT65" s="121">
        <f t="shared" si="40"/>
      </c>
      <c r="AU65" s="121">
        <f t="shared" si="41"/>
        <v>1</v>
      </c>
      <c r="AV65" s="119">
        <f t="shared" si="42"/>
      </c>
      <c r="AW65" s="122">
        <f t="shared" si="43"/>
      </c>
      <c r="AX65" s="31">
        <f t="shared" si="44"/>
        <v>0</v>
      </c>
      <c r="AY65" s="7">
        <f t="shared" si="45"/>
        <v>1</v>
      </c>
      <c r="AZ65" s="123">
        <f t="shared" si="46"/>
        <v>1</v>
      </c>
      <c r="BA65" s="123">
        <f t="shared" si="47"/>
        <v>0</v>
      </c>
      <c r="BB65" s="123">
        <f t="shared" si="48"/>
      </c>
      <c r="BC65" s="33"/>
      <c r="BD65" s="33"/>
      <c r="BE65" s="33"/>
      <c r="BF65" s="33"/>
      <c r="BG65" s="30"/>
      <c r="BH65" s="30"/>
      <c r="BI65" s="30"/>
      <c r="BJ65" s="30"/>
      <c r="BK65" s="30"/>
      <c r="BL65" s="30"/>
      <c r="BM65" s="30"/>
      <c r="BN65" s="124"/>
      <c r="BO65" s="125"/>
      <c r="BP65" s="125"/>
      <c r="BQ65" s="126"/>
      <c r="BR65" s="126"/>
      <c r="BS65" s="126"/>
      <c r="BT65" s="127">
        <v>58</v>
      </c>
      <c r="BU65" s="127"/>
      <c r="BV65" s="127"/>
      <c r="BW65" s="179">
        <f t="shared" si="101"/>
        <v>23</v>
      </c>
      <c r="BX65" s="7">
        <f t="shared" si="102"/>
        <v>9</v>
      </c>
      <c r="BY65" s="20">
        <f t="shared" si="51"/>
        <v>139</v>
      </c>
      <c r="BZ65" s="2" t="str">
        <f t="shared" si="52"/>
        <v>139.2.5</v>
      </c>
      <c r="CA65" s="181">
        <f t="shared" si="53"/>
        <v>2</v>
      </c>
      <c r="CB65" s="2">
        <f t="shared" si="103"/>
        <v>5</v>
      </c>
      <c r="CC65" s="2" t="str">
        <f t="shared" si="54"/>
        <v>139.9.28</v>
      </c>
      <c r="CD65" s="181">
        <f t="shared" si="95"/>
        <v>9</v>
      </c>
      <c r="CE65" s="2">
        <f t="shared" si="96"/>
        <v>28</v>
      </c>
      <c r="CF65" s="2" t="str">
        <f t="shared" si="104"/>
        <v>生日</v>
      </c>
      <c r="CG65" s="2" t="str">
        <f t="shared" si="105"/>
        <v>139.2.5</v>
      </c>
      <c r="CH65" s="2">
        <f t="shared" si="106"/>
        <v>2</v>
      </c>
      <c r="CI65" s="2" t="str">
        <f t="shared" si="107"/>
        <v>初任</v>
      </c>
      <c r="CJ65" s="2" t="str">
        <f t="shared" si="108"/>
        <v>139.9.28</v>
      </c>
      <c r="CK65" s="2">
        <f t="shared" si="109"/>
        <v>9</v>
      </c>
      <c r="CL65" s="2">
        <f t="shared" si="110"/>
        <v>0</v>
      </c>
      <c r="CM65" s="339">
        <f t="shared" si="62"/>
      </c>
      <c r="CN65" s="2">
        <f t="shared" si="63"/>
      </c>
      <c r="CO65" s="2">
        <f t="shared" si="64"/>
      </c>
      <c r="CP65" s="2">
        <f t="shared" si="65"/>
      </c>
      <c r="CQ65" s="2">
        <f t="shared" si="66"/>
      </c>
      <c r="CR65" s="2">
        <f t="shared" si="7"/>
      </c>
      <c r="CS65" s="128">
        <f t="shared" si="8"/>
      </c>
      <c r="CT65" s="2">
        <f t="shared" si="67"/>
      </c>
      <c r="CU65" s="2">
        <f t="shared" si="68"/>
      </c>
      <c r="CV65" s="128">
        <f t="shared" si="69"/>
      </c>
      <c r="CW65" s="2" t="str">
        <f t="shared" si="97"/>
        <v>139.1.1</v>
      </c>
      <c r="CX65" s="2">
        <f t="shared" si="70"/>
        <v>1</v>
      </c>
      <c r="CY65" s="128" t="str">
        <f t="shared" si="71"/>
        <v>139.2.1。【說明：原實際條件成就時間為139.1.1，惟因必須配合學期而延至當學期結束之次日，始能退休生效，爰推算為139.2.1】</v>
      </c>
      <c r="CZ65" s="2">
        <f t="shared" si="72"/>
      </c>
      <c r="DA65" s="2">
        <f t="shared" si="73"/>
      </c>
      <c r="DB65" s="128">
        <f t="shared" si="74"/>
      </c>
      <c r="DC65" s="2">
        <f t="shared" si="75"/>
      </c>
      <c r="DD65" s="2">
        <f t="shared" si="76"/>
      </c>
      <c r="DE65" s="128">
        <f t="shared" si="77"/>
      </c>
      <c r="DF65" s="2"/>
      <c r="DG65" s="2"/>
      <c r="DH65" s="128"/>
      <c r="DI65" s="2">
        <f t="shared" si="78"/>
      </c>
      <c r="DJ65" s="2">
        <f t="shared" si="79"/>
      </c>
      <c r="DK65" s="128">
        <f t="shared" si="80"/>
      </c>
      <c r="DL65" s="128"/>
      <c r="DM65" s="21" t="str">
        <f t="shared" si="81"/>
        <v>139.2.1。【說明：原實際條件成就時間為139.1.1，惟因必須配合學期而延至當學期結束之次日，始能退休生效，爰推算為139.2.1】</v>
      </c>
      <c r="DN65" s="2" t="str">
        <f t="shared" si="82"/>
        <v>139.1.1</v>
      </c>
      <c r="DO65" s="2"/>
      <c r="DP65" s="2"/>
      <c r="DQ65" s="2"/>
      <c r="DR65" s="2"/>
      <c r="DS65" s="2"/>
      <c r="DT65" s="2"/>
      <c r="DU65" s="2"/>
      <c r="DV65" s="10"/>
      <c r="DW65" s="2">
        <f t="shared" si="83"/>
        <v>139</v>
      </c>
      <c r="DX65" s="2">
        <f t="shared" si="84"/>
      </c>
      <c r="DY65" s="34"/>
      <c r="DZ65" s="7">
        <f t="shared" si="85"/>
        <v>1</v>
      </c>
      <c r="EA65" s="123">
        <f t="shared" si="86"/>
        <v>0</v>
      </c>
      <c r="EB65" s="211">
        <f t="shared" si="87"/>
      </c>
      <c r="EC65" s="210">
        <f t="shared" si="88"/>
      </c>
      <c r="ED65" s="210" t="e">
        <f t="shared" si="89"/>
        <v>#VALUE!</v>
      </c>
      <c r="EE65" s="34"/>
      <c r="EF65" s="34"/>
      <c r="EG65" s="34"/>
      <c r="EH65" s="34"/>
      <c r="EI65" s="118">
        <f t="shared" si="90"/>
        <v>0</v>
      </c>
      <c r="EJ65" s="34"/>
      <c r="EK65" s="313">
        <f t="shared" si="91"/>
        <v>58</v>
      </c>
      <c r="EL65" s="34"/>
      <c r="EM65" s="34"/>
      <c r="EN65" s="30">
        <f t="shared" si="92"/>
      </c>
      <c r="EO65" s="30">
        <f t="shared" si="9"/>
      </c>
      <c r="EP65" s="20">
        <f t="shared" si="93"/>
      </c>
      <c r="EQ65" s="315"/>
    </row>
    <row r="66" spans="1:147" s="29" customFormat="1" ht="15" customHeight="1">
      <c r="A66" s="143"/>
      <c r="B66" s="149">
        <f t="shared" si="98"/>
        <v>140</v>
      </c>
      <c r="C66" s="26">
        <f t="shared" si="94"/>
        <v>20511231</v>
      </c>
      <c r="D66" s="26" t="str">
        <f t="shared" si="10"/>
        <v>2051</v>
      </c>
      <c r="E66" s="26" t="str">
        <f t="shared" si="11"/>
        <v>12</v>
      </c>
      <c r="F66" s="26" t="str">
        <f t="shared" si="12"/>
        <v>31</v>
      </c>
      <c r="G66" s="300">
        <f t="shared" si="13"/>
        <v>55518</v>
      </c>
      <c r="H66" s="116">
        <f t="shared" si="0"/>
        <v>50</v>
      </c>
      <c r="I66" s="116">
        <f t="shared" si="14"/>
        <v>4</v>
      </c>
      <c r="J66" s="26">
        <f t="shared" si="111"/>
        <v>30</v>
      </c>
      <c r="K66" s="117">
        <f t="shared" si="15"/>
        <v>52</v>
      </c>
      <c r="L66" s="117">
        <f t="shared" si="16"/>
        <v>3</v>
      </c>
      <c r="M66" s="117">
        <f t="shared" si="17"/>
        <v>8</v>
      </c>
      <c r="N66" s="571" t="str">
        <f t="shared" si="99"/>
        <v>140.1.1~140.12.31</v>
      </c>
      <c r="O66" s="572"/>
      <c r="P66" s="572"/>
      <c r="Q66" s="573"/>
      <c r="R66" s="390"/>
      <c r="S66" s="391">
        <f t="shared" si="18"/>
        <v>82</v>
      </c>
      <c r="T66" s="392">
        <f t="shared" si="19"/>
        <v>52</v>
      </c>
      <c r="U66" s="393">
        <f t="shared" si="20"/>
        <v>134</v>
      </c>
      <c r="V66" s="148">
        <f t="shared" si="21"/>
      </c>
      <c r="W66" s="430">
        <f t="shared" si="22"/>
      </c>
      <c r="X66" s="402"/>
      <c r="Y66" s="402"/>
      <c r="Z66" s="431"/>
      <c r="AA66" s="276">
        <f t="shared" si="23"/>
      </c>
      <c r="AB66" s="249">
        <f t="shared" si="24"/>
      </c>
      <c r="AC66" s="330">
        <f t="shared" si="25"/>
      </c>
      <c r="AD66" s="102"/>
      <c r="AE66" s="118">
        <f t="shared" si="26"/>
        <v>0</v>
      </c>
      <c r="AF66" s="118">
        <f t="shared" si="27"/>
        <v>0</v>
      </c>
      <c r="AG66" s="118">
        <f t="shared" si="28"/>
        <v>1</v>
      </c>
      <c r="AH66" s="118">
        <f>IF(OR(AE66+AF66+AG66&gt;0,SUM($AE$30:AG65)&gt;0),1,0)</f>
        <v>1</v>
      </c>
      <c r="AI66" s="118">
        <f t="shared" si="29"/>
      </c>
      <c r="AJ66" s="118">
        <f t="shared" si="30"/>
      </c>
      <c r="AK66" s="118" t="str">
        <f t="shared" si="31"/>
        <v>符合「年齡滿65歲、年資滿15年」之擇領月退休金條件</v>
      </c>
      <c r="AL66" s="118" t="str">
        <f t="shared" si="32"/>
        <v>符合「年齡滿65歲、年資滿15年」之擇領月退休金條件</v>
      </c>
      <c r="AM66" s="119">
        <f t="shared" si="33"/>
        <v>0</v>
      </c>
      <c r="AN66" s="119">
        <f t="shared" si="34"/>
        <v>1</v>
      </c>
      <c r="AO66" s="119" t="str">
        <f t="shared" si="35"/>
        <v>符合</v>
      </c>
      <c r="AP66" s="119">
        <f t="shared" si="36"/>
        <v>82</v>
      </c>
      <c r="AQ66" s="119">
        <f t="shared" si="37"/>
        <v>20511231</v>
      </c>
      <c r="AR66" s="119" t="str">
        <f t="shared" si="38"/>
        <v>140.1.1~140.12.31</v>
      </c>
      <c r="AS66" s="120">
        <f t="shared" si="39"/>
      </c>
      <c r="AT66" s="121">
        <f t="shared" si="40"/>
      </c>
      <c r="AU66" s="121">
        <f t="shared" si="41"/>
        <v>1</v>
      </c>
      <c r="AV66" s="119">
        <f t="shared" si="42"/>
      </c>
      <c r="AW66" s="122">
        <f t="shared" si="43"/>
      </c>
      <c r="AX66" s="31">
        <f t="shared" si="44"/>
        <v>0</v>
      </c>
      <c r="AY66" s="7">
        <f t="shared" si="45"/>
        <v>1</v>
      </c>
      <c r="AZ66" s="123">
        <f t="shared" si="46"/>
        <v>1</v>
      </c>
      <c r="BA66" s="123">
        <f t="shared" si="47"/>
        <v>0</v>
      </c>
      <c r="BB66" s="123">
        <f t="shared" si="48"/>
      </c>
      <c r="BC66" s="33"/>
      <c r="BD66" s="33"/>
      <c r="BE66" s="33"/>
      <c r="BF66" s="33"/>
      <c r="BG66" s="30"/>
      <c r="BH66" s="30"/>
      <c r="BI66" s="30"/>
      <c r="BJ66" s="30"/>
      <c r="BK66" s="30"/>
      <c r="BL66" s="30"/>
      <c r="BM66" s="30"/>
      <c r="BN66" s="124"/>
      <c r="BO66" s="125"/>
      <c r="BP66" s="125"/>
      <c r="BQ66" s="126"/>
      <c r="BR66" s="126"/>
      <c r="BS66" s="126"/>
      <c r="BT66" s="127">
        <v>58</v>
      </c>
      <c r="BU66" s="127"/>
      <c r="BV66" s="127"/>
      <c r="BW66" s="179">
        <f t="shared" si="101"/>
        <v>23</v>
      </c>
      <c r="BX66" s="7">
        <f t="shared" si="102"/>
        <v>9</v>
      </c>
      <c r="BY66" s="20">
        <f t="shared" si="51"/>
        <v>140</v>
      </c>
      <c r="BZ66" s="2" t="str">
        <f t="shared" si="52"/>
        <v>140.2.5</v>
      </c>
      <c r="CA66" s="181">
        <f t="shared" si="53"/>
        <v>2</v>
      </c>
      <c r="CB66" s="2">
        <f t="shared" si="103"/>
        <v>5</v>
      </c>
      <c r="CC66" s="2" t="str">
        <f t="shared" si="54"/>
        <v>140.9.28</v>
      </c>
      <c r="CD66" s="181">
        <f t="shared" si="95"/>
        <v>9</v>
      </c>
      <c r="CE66" s="2">
        <f t="shared" si="96"/>
        <v>28</v>
      </c>
      <c r="CF66" s="2" t="str">
        <f t="shared" si="104"/>
        <v>生日</v>
      </c>
      <c r="CG66" s="2" t="str">
        <f t="shared" si="105"/>
        <v>140.2.5</v>
      </c>
      <c r="CH66" s="2">
        <f t="shared" si="106"/>
        <v>2</v>
      </c>
      <c r="CI66" s="2" t="str">
        <f t="shared" si="107"/>
        <v>初任</v>
      </c>
      <c r="CJ66" s="2" t="str">
        <f t="shared" si="108"/>
        <v>140.9.28</v>
      </c>
      <c r="CK66" s="2">
        <f t="shared" si="109"/>
        <v>9</v>
      </c>
      <c r="CL66" s="2">
        <f t="shared" si="110"/>
        <v>0</v>
      </c>
      <c r="CM66" s="339">
        <f t="shared" si="62"/>
      </c>
      <c r="CN66" s="2">
        <f t="shared" si="63"/>
      </c>
      <c r="CO66" s="2">
        <f t="shared" si="64"/>
      </c>
      <c r="CP66" s="2">
        <f t="shared" si="65"/>
      </c>
      <c r="CQ66" s="2">
        <f t="shared" si="66"/>
      </c>
      <c r="CR66" s="2">
        <f t="shared" si="7"/>
      </c>
      <c r="CS66" s="128">
        <f t="shared" si="8"/>
      </c>
      <c r="CT66" s="2">
        <f t="shared" si="67"/>
      </c>
      <c r="CU66" s="2">
        <f t="shared" si="68"/>
      </c>
      <c r="CV66" s="128">
        <f t="shared" si="69"/>
      </c>
      <c r="CW66" s="2" t="str">
        <f t="shared" si="97"/>
        <v>140.1.1</v>
      </c>
      <c r="CX66" s="2">
        <f t="shared" si="70"/>
        <v>1</v>
      </c>
      <c r="CY66" s="128" t="str">
        <f t="shared" si="71"/>
        <v>140.2.1。【說明：原實際條件成就時間為140.1.1，惟因必須配合學期而延至當學期結束之次日，始能退休生效，爰推算為140.2.1】</v>
      </c>
      <c r="CZ66" s="2">
        <f t="shared" si="72"/>
      </c>
      <c r="DA66" s="2">
        <f t="shared" si="73"/>
      </c>
      <c r="DB66" s="128">
        <f t="shared" si="74"/>
      </c>
      <c r="DC66" s="2">
        <f t="shared" si="75"/>
      </c>
      <c r="DD66" s="2">
        <f t="shared" si="76"/>
      </c>
      <c r="DE66" s="128">
        <f t="shared" si="77"/>
      </c>
      <c r="DF66" s="2"/>
      <c r="DG66" s="2"/>
      <c r="DH66" s="128"/>
      <c r="DI66" s="2">
        <f t="shared" si="78"/>
      </c>
      <c r="DJ66" s="2">
        <f t="shared" si="79"/>
      </c>
      <c r="DK66" s="128">
        <f t="shared" si="80"/>
      </c>
      <c r="DL66" s="128"/>
      <c r="DM66" s="21" t="str">
        <f t="shared" si="81"/>
        <v>140.2.1。【說明：原實際條件成就時間為140.1.1，惟因必須配合學期而延至當學期結束之次日，始能退休生效，爰推算為140.2.1】</v>
      </c>
      <c r="DN66" s="2" t="str">
        <f t="shared" si="82"/>
        <v>140.1.1</v>
      </c>
      <c r="DO66" s="2"/>
      <c r="DP66" s="2"/>
      <c r="DQ66" s="2"/>
      <c r="DR66" s="2"/>
      <c r="DS66" s="2"/>
      <c r="DT66" s="2"/>
      <c r="DU66" s="2"/>
      <c r="DV66" s="10"/>
      <c r="DW66" s="2">
        <f t="shared" si="83"/>
        <v>140</v>
      </c>
      <c r="DX66" s="2">
        <f t="shared" si="84"/>
      </c>
      <c r="DY66" s="34"/>
      <c r="DZ66" s="7">
        <f t="shared" si="85"/>
        <v>1</v>
      </c>
      <c r="EA66" s="123">
        <f t="shared" si="86"/>
        <v>0</v>
      </c>
      <c r="EB66" s="211">
        <f t="shared" si="87"/>
      </c>
      <c r="EC66" s="210">
        <f t="shared" si="88"/>
      </c>
      <c r="ED66" s="210" t="e">
        <f t="shared" si="89"/>
        <v>#VALUE!</v>
      </c>
      <c r="EE66" s="34"/>
      <c r="EF66" s="34"/>
      <c r="EG66" s="34"/>
      <c r="EH66" s="34"/>
      <c r="EI66" s="118">
        <f t="shared" si="90"/>
        <v>0</v>
      </c>
      <c r="EJ66" s="34"/>
      <c r="EK66" s="313">
        <f t="shared" si="91"/>
        <v>58</v>
      </c>
      <c r="EL66" s="34"/>
      <c r="EM66" s="34"/>
      <c r="EN66" s="30">
        <f t="shared" si="92"/>
      </c>
      <c r="EO66" s="30">
        <f t="shared" si="9"/>
      </c>
      <c r="EP66" s="20">
        <f t="shared" si="93"/>
      </c>
      <c r="EQ66" s="315"/>
    </row>
    <row r="67" spans="1:147" s="29" customFormat="1" ht="15" customHeight="1">
      <c r="A67" s="143"/>
      <c r="B67" s="149">
        <f t="shared" si="98"/>
        <v>141</v>
      </c>
      <c r="C67" s="26">
        <f t="shared" si="94"/>
        <v>20521231</v>
      </c>
      <c r="D67" s="26" t="str">
        <f t="shared" si="10"/>
        <v>2052</v>
      </c>
      <c r="E67" s="26" t="str">
        <f t="shared" si="11"/>
        <v>12</v>
      </c>
      <c r="F67" s="26" t="str">
        <f t="shared" si="12"/>
        <v>31</v>
      </c>
      <c r="G67" s="300">
        <f t="shared" si="13"/>
        <v>55884</v>
      </c>
      <c r="H67" s="116">
        <f t="shared" si="0"/>
        <v>51</v>
      </c>
      <c r="I67" s="116">
        <f t="shared" si="14"/>
        <v>4</v>
      </c>
      <c r="J67" s="26">
        <f t="shared" si="111"/>
        <v>30</v>
      </c>
      <c r="K67" s="117">
        <f t="shared" si="15"/>
        <v>53</v>
      </c>
      <c r="L67" s="117">
        <f t="shared" si="16"/>
        <v>3</v>
      </c>
      <c r="M67" s="117">
        <f t="shared" si="17"/>
        <v>8</v>
      </c>
      <c r="N67" s="571" t="str">
        <f t="shared" si="99"/>
        <v>141.1.1~141.12.31</v>
      </c>
      <c r="O67" s="572"/>
      <c r="P67" s="572"/>
      <c r="Q67" s="573"/>
      <c r="R67" s="390"/>
      <c r="S67" s="391">
        <f t="shared" si="18"/>
        <v>83</v>
      </c>
      <c r="T67" s="392">
        <f t="shared" si="19"/>
        <v>53</v>
      </c>
      <c r="U67" s="393">
        <f t="shared" si="20"/>
        <v>136</v>
      </c>
      <c r="V67" s="148">
        <f t="shared" si="21"/>
      </c>
      <c r="W67" s="430">
        <f t="shared" si="22"/>
      </c>
      <c r="X67" s="402"/>
      <c r="Y67" s="402"/>
      <c r="Z67" s="431"/>
      <c r="AA67" s="276">
        <f t="shared" si="23"/>
      </c>
      <c r="AB67" s="249">
        <f t="shared" si="24"/>
      </c>
      <c r="AC67" s="330">
        <f t="shared" si="25"/>
      </c>
      <c r="AD67" s="102"/>
      <c r="AE67" s="118">
        <f t="shared" si="26"/>
        <v>0</v>
      </c>
      <c r="AF67" s="118">
        <f t="shared" si="27"/>
        <v>0</v>
      </c>
      <c r="AG67" s="118">
        <f t="shared" si="28"/>
        <v>1</v>
      </c>
      <c r="AH67" s="118">
        <f>IF(OR(AE67+AF67+AG67&gt;0,SUM($AE$30:AG66)&gt;0),1,0)</f>
        <v>1</v>
      </c>
      <c r="AI67" s="118">
        <f t="shared" si="29"/>
      </c>
      <c r="AJ67" s="118">
        <f t="shared" si="30"/>
      </c>
      <c r="AK67" s="118" t="str">
        <f t="shared" si="31"/>
        <v>符合「年齡滿65歲、年資滿15年」之擇領月退休金條件</v>
      </c>
      <c r="AL67" s="118" t="str">
        <f t="shared" si="32"/>
        <v>符合「年齡滿65歲、年資滿15年」之擇領月退休金條件</v>
      </c>
      <c r="AM67" s="119">
        <f t="shared" si="33"/>
        <v>0</v>
      </c>
      <c r="AN67" s="119">
        <f t="shared" si="34"/>
        <v>1</v>
      </c>
      <c r="AO67" s="119" t="str">
        <f t="shared" si="35"/>
        <v>符合</v>
      </c>
      <c r="AP67" s="119">
        <f t="shared" si="36"/>
        <v>83</v>
      </c>
      <c r="AQ67" s="119">
        <f t="shared" si="37"/>
        <v>20521231</v>
      </c>
      <c r="AR67" s="119" t="str">
        <f t="shared" si="38"/>
        <v>141.1.1~141.12.31</v>
      </c>
      <c r="AS67" s="120">
        <f t="shared" si="39"/>
      </c>
      <c r="AT67" s="121">
        <f t="shared" si="40"/>
      </c>
      <c r="AU67" s="121">
        <f t="shared" si="41"/>
        <v>1</v>
      </c>
      <c r="AV67" s="119">
        <f t="shared" si="42"/>
      </c>
      <c r="AW67" s="122">
        <f t="shared" si="43"/>
      </c>
      <c r="AX67" s="31">
        <f t="shared" si="44"/>
        <v>0</v>
      </c>
      <c r="AY67" s="7">
        <f t="shared" si="45"/>
        <v>1</v>
      </c>
      <c r="AZ67" s="123">
        <f t="shared" si="46"/>
        <v>1</v>
      </c>
      <c r="BA67" s="123">
        <f t="shared" si="47"/>
        <v>0</v>
      </c>
      <c r="BB67" s="123">
        <f t="shared" si="48"/>
      </c>
      <c r="BC67" s="33"/>
      <c r="BD67" s="33"/>
      <c r="BE67" s="33"/>
      <c r="BF67" s="33"/>
      <c r="BG67" s="30"/>
      <c r="BH67" s="30"/>
      <c r="BI67" s="30"/>
      <c r="BJ67" s="30"/>
      <c r="BK67" s="30"/>
      <c r="BL67" s="30"/>
      <c r="BM67" s="30"/>
      <c r="BN67" s="124"/>
      <c r="BO67" s="125"/>
      <c r="BP67" s="125"/>
      <c r="BQ67" s="126"/>
      <c r="BR67" s="126"/>
      <c r="BS67" s="126"/>
      <c r="BT67" s="127">
        <v>58</v>
      </c>
      <c r="BU67" s="127"/>
      <c r="BV67" s="127"/>
      <c r="BW67" s="179">
        <f t="shared" si="101"/>
        <v>23</v>
      </c>
      <c r="BX67" s="7">
        <f t="shared" si="102"/>
        <v>9</v>
      </c>
      <c r="BY67" s="20">
        <f t="shared" si="51"/>
        <v>141</v>
      </c>
      <c r="BZ67" s="2" t="str">
        <f t="shared" si="52"/>
        <v>141.2.5</v>
      </c>
      <c r="CA67" s="181">
        <f t="shared" si="53"/>
        <v>2</v>
      </c>
      <c r="CB67" s="2">
        <f t="shared" si="103"/>
        <v>5</v>
      </c>
      <c r="CC67" s="2" t="str">
        <f t="shared" si="54"/>
        <v>141.9.28</v>
      </c>
      <c r="CD67" s="181">
        <f t="shared" si="95"/>
        <v>9</v>
      </c>
      <c r="CE67" s="2">
        <f t="shared" si="96"/>
        <v>28</v>
      </c>
      <c r="CF67" s="2" t="str">
        <f t="shared" si="104"/>
        <v>生日</v>
      </c>
      <c r="CG67" s="2" t="str">
        <f t="shared" si="105"/>
        <v>141.2.5</v>
      </c>
      <c r="CH67" s="2">
        <f t="shared" si="106"/>
        <v>2</v>
      </c>
      <c r="CI67" s="2" t="str">
        <f t="shared" si="107"/>
        <v>初任</v>
      </c>
      <c r="CJ67" s="2" t="str">
        <f t="shared" si="108"/>
        <v>141.9.28</v>
      </c>
      <c r="CK67" s="2">
        <f t="shared" si="109"/>
        <v>9</v>
      </c>
      <c r="CL67" s="2">
        <f t="shared" si="110"/>
        <v>0</v>
      </c>
      <c r="CM67" s="339">
        <f t="shared" si="62"/>
      </c>
      <c r="CN67" s="2">
        <f t="shared" si="63"/>
      </c>
      <c r="CO67" s="2">
        <f t="shared" si="64"/>
      </c>
      <c r="CP67" s="2">
        <f t="shared" si="65"/>
      </c>
      <c r="CQ67" s="2">
        <f t="shared" si="66"/>
      </c>
      <c r="CR67" s="2">
        <f t="shared" si="7"/>
      </c>
      <c r="CS67" s="128">
        <f t="shared" si="8"/>
      </c>
      <c r="CT67" s="2">
        <f t="shared" si="67"/>
      </c>
      <c r="CU67" s="2">
        <f t="shared" si="68"/>
      </c>
      <c r="CV67" s="128">
        <f t="shared" si="69"/>
      </c>
      <c r="CW67" s="2" t="str">
        <f t="shared" si="97"/>
        <v>141.1.1</v>
      </c>
      <c r="CX67" s="2">
        <f t="shared" si="70"/>
        <v>1</v>
      </c>
      <c r="CY67" s="128" t="str">
        <f t="shared" si="71"/>
        <v>141.2.1。【說明：原實際條件成就時間為141.1.1，惟因必須配合學期而延至當學期結束之次日，始能退休生效，爰推算為141.2.1】</v>
      </c>
      <c r="CZ67" s="2">
        <f t="shared" si="72"/>
      </c>
      <c r="DA67" s="2">
        <f t="shared" si="73"/>
      </c>
      <c r="DB67" s="128">
        <f t="shared" si="74"/>
      </c>
      <c r="DC67" s="2">
        <f t="shared" si="75"/>
      </c>
      <c r="DD67" s="2">
        <f t="shared" si="76"/>
      </c>
      <c r="DE67" s="128">
        <f t="shared" si="77"/>
      </c>
      <c r="DF67" s="2"/>
      <c r="DG67" s="2"/>
      <c r="DH67" s="128"/>
      <c r="DI67" s="2">
        <f t="shared" si="78"/>
      </c>
      <c r="DJ67" s="2">
        <f t="shared" si="79"/>
      </c>
      <c r="DK67" s="128">
        <f t="shared" si="80"/>
      </c>
      <c r="DL67" s="128"/>
      <c r="DM67" s="21" t="str">
        <f t="shared" si="81"/>
        <v>141.2.1。【說明：原實際條件成就時間為141.1.1，惟因必須配合學期而延至當學期結束之次日，始能退休生效，爰推算為141.2.1】</v>
      </c>
      <c r="DN67" s="2" t="str">
        <f t="shared" si="82"/>
        <v>141.1.1</v>
      </c>
      <c r="DO67" s="2"/>
      <c r="DP67" s="2"/>
      <c r="DQ67" s="2"/>
      <c r="DR67" s="2"/>
      <c r="DS67" s="2"/>
      <c r="DT67" s="2"/>
      <c r="DU67" s="2"/>
      <c r="DV67" s="10"/>
      <c r="DW67" s="2">
        <f t="shared" si="83"/>
        <v>141</v>
      </c>
      <c r="DX67" s="2">
        <f t="shared" si="84"/>
      </c>
      <c r="DY67" s="34"/>
      <c r="DZ67" s="7">
        <f t="shared" si="85"/>
        <v>1</v>
      </c>
      <c r="EA67" s="123">
        <f t="shared" si="86"/>
        <v>0</v>
      </c>
      <c r="EB67" s="211">
        <f t="shared" si="87"/>
      </c>
      <c r="EC67" s="210">
        <f t="shared" si="88"/>
      </c>
      <c r="ED67" s="210" t="e">
        <f t="shared" si="89"/>
        <v>#VALUE!</v>
      </c>
      <c r="EE67" s="34"/>
      <c r="EF67" s="34"/>
      <c r="EG67" s="34"/>
      <c r="EH67" s="34"/>
      <c r="EI67" s="118">
        <f t="shared" si="90"/>
        <v>0</v>
      </c>
      <c r="EJ67" s="34"/>
      <c r="EK67" s="313">
        <f t="shared" si="91"/>
        <v>58</v>
      </c>
      <c r="EL67" s="34"/>
      <c r="EM67" s="34"/>
      <c r="EN67" s="30">
        <f t="shared" si="92"/>
      </c>
      <c r="EO67" s="30">
        <f t="shared" si="9"/>
      </c>
      <c r="EP67" s="20">
        <f t="shared" si="93"/>
      </c>
      <c r="EQ67" s="315"/>
    </row>
    <row r="68" spans="1:147" s="29" customFormat="1" ht="15" customHeight="1">
      <c r="A68" s="143"/>
      <c r="B68" s="149">
        <f t="shared" si="98"/>
        <v>142</v>
      </c>
      <c r="C68" s="26">
        <f t="shared" si="94"/>
        <v>20531231</v>
      </c>
      <c r="D68" s="26" t="str">
        <f t="shared" si="10"/>
        <v>2053</v>
      </c>
      <c r="E68" s="26" t="str">
        <f t="shared" si="11"/>
        <v>12</v>
      </c>
      <c r="F68" s="26" t="str">
        <f t="shared" si="12"/>
        <v>31</v>
      </c>
      <c r="G68" s="300">
        <f t="shared" si="13"/>
        <v>56249</v>
      </c>
      <c r="H68" s="116">
        <f t="shared" si="0"/>
        <v>52</v>
      </c>
      <c r="I68" s="116">
        <f t="shared" si="14"/>
        <v>4</v>
      </c>
      <c r="J68" s="26">
        <f t="shared" si="111"/>
        <v>30</v>
      </c>
      <c r="K68" s="117">
        <f t="shared" si="15"/>
        <v>54</v>
      </c>
      <c r="L68" s="117">
        <f t="shared" si="16"/>
        <v>3</v>
      </c>
      <c r="M68" s="117">
        <f t="shared" si="17"/>
        <v>8</v>
      </c>
      <c r="N68" s="571" t="str">
        <f t="shared" si="99"/>
        <v>142.1.1~142.12.31</v>
      </c>
      <c r="O68" s="572"/>
      <c r="P68" s="572"/>
      <c r="Q68" s="573"/>
      <c r="R68" s="390"/>
      <c r="S68" s="391">
        <f t="shared" si="18"/>
        <v>84</v>
      </c>
      <c r="T68" s="392">
        <f t="shared" si="19"/>
        <v>54</v>
      </c>
      <c r="U68" s="393">
        <f t="shared" si="20"/>
        <v>138</v>
      </c>
      <c r="V68" s="148">
        <f t="shared" si="21"/>
      </c>
      <c r="W68" s="430">
        <f t="shared" si="22"/>
      </c>
      <c r="X68" s="402"/>
      <c r="Y68" s="402"/>
      <c r="Z68" s="431"/>
      <c r="AA68" s="276">
        <f t="shared" si="23"/>
      </c>
      <c r="AB68" s="249">
        <f t="shared" si="24"/>
      </c>
      <c r="AC68" s="330">
        <f t="shared" si="25"/>
      </c>
      <c r="AD68" s="102"/>
      <c r="AE68" s="118">
        <f t="shared" si="26"/>
        <v>0</v>
      </c>
      <c r="AF68" s="118">
        <f t="shared" si="27"/>
        <v>0</v>
      </c>
      <c r="AG68" s="118">
        <f t="shared" si="28"/>
        <v>1</v>
      </c>
      <c r="AH68" s="118">
        <f>IF(OR(AE68+AF68+AG68&gt;0,SUM($AE$30:AG67)&gt;0),1,0)</f>
        <v>1</v>
      </c>
      <c r="AI68" s="118">
        <f t="shared" si="29"/>
      </c>
      <c r="AJ68" s="118">
        <f t="shared" si="30"/>
      </c>
      <c r="AK68" s="118" t="str">
        <f t="shared" si="31"/>
        <v>符合「年齡滿65歲、年資滿15年」之擇領月退休金條件</v>
      </c>
      <c r="AL68" s="118" t="str">
        <f t="shared" si="32"/>
        <v>符合「年齡滿65歲、年資滿15年」之擇領月退休金條件</v>
      </c>
      <c r="AM68" s="119">
        <f t="shared" si="33"/>
        <v>0</v>
      </c>
      <c r="AN68" s="119">
        <f t="shared" si="34"/>
        <v>1</v>
      </c>
      <c r="AO68" s="119" t="str">
        <f t="shared" si="35"/>
        <v>符合</v>
      </c>
      <c r="AP68" s="119">
        <f t="shared" si="36"/>
        <v>84</v>
      </c>
      <c r="AQ68" s="119">
        <f t="shared" si="37"/>
        <v>20531231</v>
      </c>
      <c r="AR68" s="119" t="str">
        <f t="shared" si="38"/>
        <v>142.1.1~142.12.31</v>
      </c>
      <c r="AS68" s="120">
        <f t="shared" si="39"/>
      </c>
      <c r="AT68" s="121">
        <f t="shared" si="40"/>
      </c>
      <c r="AU68" s="121">
        <f t="shared" si="41"/>
        <v>1</v>
      </c>
      <c r="AV68" s="119">
        <f t="shared" si="42"/>
      </c>
      <c r="AW68" s="122">
        <f t="shared" si="43"/>
      </c>
      <c r="AX68" s="31">
        <f t="shared" si="44"/>
        <v>0</v>
      </c>
      <c r="AY68" s="7">
        <f t="shared" si="45"/>
        <v>1</v>
      </c>
      <c r="AZ68" s="123">
        <f t="shared" si="46"/>
        <v>1</v>
      </c>
      <c r="BA68" s="123">
        <f t="shared" si="47"/>
        <v>0</v>
      </c>
      <c r="BB68" s="123">
        <f t="shared" si="48"/>
      </c>
      <c r="BC68" s="33"/>
      <c r="BD68" s="33"/>
      <c r="BE68" s="33"/>
      <c r="BF68" s="33"/>
      <c r="BG68" s="30"/>
      <c r="BH68" s="30"/>
      <c r="BI68" s="30"/>
      <c r="BJ68" s="30"/>
      <c r="BK68" s="30"/>
      <c r="BL68" s="30"/>
      <c r="BM68" s="30"/>
      <c r="BN68" s="124"/>
      <c r="BO68" s="125"/>
      <c r="BP68" s="125"/>
      <c r="BQ68" s="126"/>
      <c r="BR68" s="126"/>
      <c r="BS68" s="126"/>
      <c r="BT68" s="127">
        <v>58</v>
      </c>
      <c r="BU68" s="127"/>
      <c r="BV68" s="127"/>
      <c r="BW68" s="179">
        <f t="shared" si="101"/>
        <v>23</v>
      </c>
      <c r="BX68" s="7">
        <f t="shared" si="102"/>
        <v>9</v>
      </c>
      <c r="BY68" s="20">
        <f t="shared" si="51"/>
        <v>142</v>
      </c>
      <c r="BZ68" s="2" t="str">
        <f t="shared" si="52"/>
        <v>142.2.5</v>
      </c>
      <c r="CA68" s="181">
        <f t="shared" si="53"/>
        <v>2</v>
      </c>
      <c r="CB68" s="2">
        <f t="shared" si="103"/>
        <v>5</v>
      </c>
      <c r="CC68" s="2" t="str">
        <f t="shared" si="54"/>
        <v>142.9.28</v>
      </c>
      <c r="CD68" s="181">
        <f t="shared" si="95"/>
        <v>9</v>
      </c>
      <c r="CE68" s="2">
        <f t="shared" si="96"/>
        <v>28</v>
      </c>
      <c r="CF68" s="2" t="str">
        <f t="shared" si="104"/>
        <v>生日</v>
      </c>
      <c r="CG68" s="2" t="str">
        <f t="shared" si="105"/>
        <v>142.2.5</v>
      </c>
      <c r="CH68" s="2">
        <f t="shared" si="106"/>
        <v>2</v>
      </c>
      <c r="CI68" s="2" t="str">
        <f t="shared" si="107"/>
        <v>初任</v>
      </c>
      <c r="CJ68" s="2" t="str">
        <f t="shared" si="108"/>
        <v>142.9.28</v>
      </c>
      <c r="CK68" s="2">
        <f t="shared" si="109"/>
        <v>9</v>
      </c>
      <c r="CL68" s="2">
        <f t="shared" si="110"/>
        <v>0</v>
      </c>
      <c r="CM68" s="339">
        <f t="shared" si="62"/>
      </c>
      <c r="CN68" s="2">
        <f t="shared" si="63"/>
      </c>
      <c r="CO68" s="2">
        <f t="shared" si="64"/>
      </c>
      <c r="CP68" s="2">
        <f t="shared" si="65"/>
      </c>
      <c r="CQ68" s="2">
        <f t="shared" si="66"/>
      </c>
      <c r="CR68" s="2">
        <f t="shared" si="7"/>
      </c>
      <c r="CS68" s="128">
        <f t="shared" si="8"/>
      </c>
      <c r="CT68" s="2">
        <f t="shared" si="67"/>
      </c>
      <c r="CU68" s="2">
        <f t="shared" si="68"/>
      </c>
      <c r="CV68" s="128">
        <f t="shared" si="69"/>
      </c>
      <c r="CW68" s="2" t="str">
        <f t="shared" si="97"/>
        <v>142.1.1</v>
      </c>
      <c r="CX68" s="2">
        <f t="shared" si="70"/>
        <v>1</v>
      </c>
      <c r="CY68" s="128" t="str">
        <f t="shared" si="71"/>
        <v>142.2.1。【說明：原實際條件成就時間為142.1.1，惟因必須配合學期而延至當學期結束之次日，始能退休生效，爰推算為142.2.1】</v>
      </c>
      <c r="CZ68" s="2">
        <f t="shared" si="72"/>
      </c>
      <c r="DA68" s="2">
        <f t="shared" si="73"/>
      </c>
      <c r="DB68" s="128">
        <f t="shared" si="74"/>
      </c>
      <c r="DC68" s="2">
        <f t="shared" si="75"/>
      </c>
      <c r="DD68" s="2">
        <f t="shared" si="76"/>
      </c>
      <c r="DE68" s="128">
        <f t="shared" si="77"/>
      </c>
      <c r="DF68" s="2"/>
      <c r="DG68" s="2"/>
      <c r="DH68" s="128"/>
      <c r="DI68" s="2">
        <f t="shared" si="78"/>
      </c>
      <c r="DJ68" s="2">
        <f t="shared" si="79"/>
      </c>
      <c r="DK68" s="128">
        <f t="shared" si="80"/>
      </c>
      <c r="DL68" s="128"/>
      <c r="DM68" s="21" t="str">
        <f t="shared" si="81"/>
        <v>142.2.1。【說明：原實際條件成就時間為142.1.1，惟因必須配合學期而延至當學期結束之次日，始能退休生效，爰推算為142.2.1】</v>
      </c>
      <c r="DN68" s="2" t="str">
        <f t="shared" si="82"/>
        <v>142.1.1</v>
      </c>
      <c r="DO68" s="2"/>
      <c r="DP68" s="2"/>
      <c r="DQ68" s="2"/>
      <c r="DR68" s="2"/>
      <c r="DS68" s="2"/>
      <c r="DT68" s="2"/>
      <c r="DU68" s="2"/>
      <c r="DV68" s="10"/>
      <c r="DW68" s="2">
        <f t="shared" si="83"/>
        <v>142</v>
      </c>
      <c r="DX68" s="2">
        <f t="shared" si="84"/>
      </c>
      <c r="DY68" s="34"/>
      <c r="DZ68" s="7">
        <f t="shared" si="85"/>
        <v>1</v>
      </c>
      <c r="EA68" s="123">
        <f t="shared" si="86"/>
        <v>0</v>
      </c>
      <c r="EB68" s="211">
        <f t="shared" si="87"/>
      </c>
      <c r="EC68" s="210">
        <f t="shared" si="88"/>
      </c>
      <c r="ED68" s="210" t="e">
        <f t="shared" si="89"/>
        <v>#VALUE!</v>
      </c>
      <c r="EE68" s="34"/>
      <c r="EF68" s="34"/>
      <c r="EG68" s="34"/>
      <c r="EH68" s="34"/>
      <c r="EI68" s="118">
        <f t="shared" si="90"/>
        <v>0</v>
      </c>
      <c r="EJ68" s="34"/>
      <c r="EK68" s="313">
        <f t="shared" si="91"/>
        <v>58</v>
      </c>
      <c r="EL68" s="34"/>
      <c r="EM68" s="34"/>
      <c r="EN68" s="30">
        <f t="shared" si="92"/>
      </c>
      <c r="EO68" s="30">
        <f t="shared" si="9"/>
      </c>
      <c r="EP68" s="20">
        <f t="shared" si="93"/>
      </c>
      <c r="EQ68" s="315"/>
    </row>
    <row r="69" spans="1:147" s="29" customFormat="1" ht="15" customHeight="1">
      <c r="A69" s="143"/>
      <c r="B69" s="149">
        <f t="shared" si="98"/>
        <v>143</v>
      </c>
      <c r="C69" s="26">
        <f t="shared" si="94"/>
        <v>20541231</v>
      </c>
      <c r="D69" s="26" t="str">
        <f t="shared" si="10"/>
        <v>2054</v>
      </c>
      <c r="E69" s="26" t="str">
        <f t="shared" si="11"/>
        <v>12</v>
      </c>
      <c r="F69" s="26" t="str">
        <f t="shared" si="12"/>
        <v>31</v>
      </c>
      <c r="G69" s="300">
        <f t="shared" si="13"/>
        <v>56614</v>
      </c>
      <c r="H69" s="116">
        <f t="shared" si="0"/>
        <v>53</v>
      </c>
      <c r="I69" s="116">
        <f t="shared" si="14"/>
        <v>4</v>
      </c>
      <c r="J69" s="26">
        <f t="shared" si="111"/>
        <v>30</v>
      </c>
      <c r="K69" s="117">
        <f t="shared" si="15"/>
        <v>55</v>
      </c>
      <c r="L69" s="117">
        <f t="shared" si="16"/>
        <v>3</v>
      </c>
      <c r="M69" s="117">
        <f t="shared" si="17"/>
        <v>8</v>
      </c>
      <c r="N69" s="571" t="str">
        <f t="shared" si="99"/>
        <v>143.1.1~143.12.31</v>
      </c>
      <c r="O69" s="572"/>
      <c r="P69" s="572"/>
      <c r="Q69" s="573"/>
      <c r="R69" s="390"/>
      <c r="S69" s="391">
        <f t="shared" si="18"/>
        <v>85</v>
      </c>
      <c r="T69" s="392">
        <f t="shared" si="19"/>
        <v>55</v>
      </c>
      <c r="U69" s="393">
        <f t="shared" si="20"/>
        <v>140</v>
      </c>
      <c r="V69" s="148">
        <f t="shared" si="21"/>
      </c>
      <c r="W69" s="430">
        <f t="shared" si="22"/>
      </c>
      <c r="X69" s="402"/>
      <c r="Y69" s="402"/>
      <c r="Z69" s="431"/>
      <c r="AA69" s="276">
        <f t="shared" si="23"/>
      </c>
      <c r="AB69" s="249">
        <f t="shared" si="24"/>
      </c>
      <c r="AC69" s="330">
        <f t="shared" si="25"/>
      </c>
      <c r="AD69" s="102"/>
      <c r="AE69" s="118">
        <f t="shared" si="26"/>
        <v>0</v>
      </c>
      <c r="AF69" s="118">
        <f t="shared" si="27"/>
        <v>0</v>
      </c>
      <c r="AG69" s="118">
        <f t="shared" si="28"/>
        <v>1</v>
      </c>
      <c r="AH69" s="118">
        <f>IF(OR(AE69+AF69+AG69&gt;0,SUM($AE$30:AG68)&gt;0),1,0)</f>
        <v>1</v>
      </c>
      <c r="AI69" s="118">
        <f t="shared" si="29"/>
      </c>
      <c r="AJ69" s="118">
        <f t="shared" si="30"/>
      </c>
      <c r="AK69" s="118" t="str">
        <f t="shared" si="31"/>
        <v>符合「年齡滿65歲、年資滿15年」之擇領月退休金條件</v>
      </c>
      <c r="AL69" s="118" t="str">
        <f aca="true" t="shared" si="112" ref="AL69:AL113">CONCATENATE(AI69,AJ69,AK69)</f>
        <v>符合「年齡滿65歲、年資滿15年」之擇領月退休金條件</v>
      </c>
      <c r="AM69" s="119">
        <f aca="true" t="shared" si="113" ref="AM69:AM113">IF(AND(S69&gt;=65,T69&lt;15),1,0)</f>
        <v>0</v>
      </c>
      <c r="AN69" s="119">
        <f aca="true" t="shared" si="114" ref="AN69:AN113">IF(AND(S69&gt;=65,T69&gt;=15),1,0)</f>
        <v>1</v>
      </c>
      <c r="AO69" s="119" t="str">
        <f aca="true" t="shared" si="115" ref="AO69:AO113">LEFT(AL69,2)</f>
        <v>符合</v>
      </c>
      <c r="AP69" s="119">
        <f aca="true" t="shared" si="116" ref="AP69:AP113">S69</f>
        <v>85</v>
      </c>
      <c r="AQ69" s="119">
        <f aca="true" t="shared" si="117" ref="AQ69:AQ113">C69</f>
        <v>20541231</v>
      </c>
      <c r="AR69" s="119" t="str">
        <f aca="true" t="shared" si="118" ref="AR69:AR113">N69</f>
        <v>143.1.1~143.12.31</v>
      </c>
      <c r="AS69" s="120">
        <f t="shared" si="39"/>
      </c>
      <c r="AT69" s="121">
        <f aca="true" t="shared" si="119" ref="AT69:AT113">IF(AP69&gt;65,"",IF($AN$7&gt;$AN$8,"",IF(AND(AM69=0,AN69=0),"","★ 您自本區間起，達到屆齡退休限齡")))</f>
      </c>
      <c r="AU69" s="121">
        <f t="shared" si="41"/>
        <v>1</v>
      </c>
      <c r="AV69" s="119">
        <f t="shared" si="42"/>
      </c>
      <c r="AW69" s="122">
        <f t="shared" si="43"/>
      </c>
      <c r="AX69" s="31">
        <f t="shared" si="44"/>
        <v>0</v>
      </c>
      <c r="AY69" s="7">
        <f t="shared" si="45"/>
        <v>1</v>
      </c>
      <c r="AZ69" s="123">
        <f t="shared" si="46"/>
        <v>1</v>
      </c>
      <c r="BA69" s="123">
        <f t="shared" si="47"/>
        <v>0</v>
      </c>
      <c r="BB69" s="123">
        <f t="shared" si="48"/>
      </c>
      <c r="BC69" s="33"/>
      <c r="BD69" s="33"/>
      <c r="BE69" s="33"/>
      <c r="BF69" s="33"/>
      <c r="BG69" s="30"/>
      <c r="BH69" s="30"/>
      <c r="BI69" s="30"/>
      <c r="BJ69" s="30"/>
      <c r="BK69" s="30"/>
      <c r="BL69" s="30"/>
      <c r="BM69" s="30"/>
      <c r="BN69" s="124"/>
      <c r="BO69" s="125"/>
      <c r="BP69" s="125"/>
      <c r="BQ69" s="126"/>
      <c r="BR69" s="126"/>
      <c r="BS69" s="126"/>
      <c r="BT69" s="127">
        <v>58</v>
      </c>
      <c r="BU69" s="127"/>
      <c r="BV69" s="127"/>
      <c r="BW69" s="179">
        <f t="shared" si="101"/>
        <v>23</v>
      </c>
      <c r="BX69" s="7">
        <f t="shared" si="102"/>
        <v>9</v>
      </c>
      <c r="BY69" s="20">
        <f t="shared" si="51"/>
        <v>143</v>
      </c>
      <c r="BZ69" s="2" t="str">
        <f t="shared" si="52"/>
        <v>143.2.5</v>
      </c>
      <c r="CA69" s="181">
        <f t="shared" si="53"/>
        <v>2</v>
      </c>
      <c r="CB69" s="2">
        <f t="shared" si="103"/>
        <v>5</v>
      </c>
      <c r="CC69" s="2" t="str">
        <f t="shared" si="54"/>
        <v>143.9.28</v>
      </c>
      <c r="CD69" s="181">
        <f t="shared" si="95"/>
        <v>9</v>
      </c>
      <c r="CE69" s="2">
        <f t="shared" si="96"/>
        <v>28</v>
      </c>
      <c r="CF69" s="2" t="str">
        <f t="shared" si="104"/>
        <v>生日</v>
      </c>
      <c r="CG69" s="2" t="str">
        <f t="shared" si="105"/>
        <v>143.2.5</v>
      </c>
      <c r="CH69" s="2">
        <f t="shared" si="106"/>
        <v>2</v>
      </c>
      <c r="CI69" s="2" t="str">
        <f t="shared" si="107"/>
        <v>初任</v>
      </c>
      <c r="CJ69" s="2" t="str">
        <f t="shared" si="108"/>
        <v>143.9.28</v>
      </c>
      <c r="CK69" s="2">
        <f t="shared" si="109"/>
        <v>9</v>
      </c>
      <c r="CL69" s="2">
        <f t="shared" si="110"/>
        <v>0</v>
      </c>
      <c r="CM69" s="339">
        <f t="shared" si="62"/>
      </c>
      <c r="CN69" s="2">
        <f t="shared" si="63"/>
      </c>
      <c r="CO69" s="2">
        <f t="shared" si="64"/>
      </c>
      <c r="CP69" s="2">
        <f t="shared" si="65"/>
      </c>
      <c r="CQ69" s="2">
        <f t="shared" si="66"/>
      </c>
      <c r="CR69" s="2">
        <f t="shared" si="7"/>
      </c>
      <c r="CS69" s="128">
        <f t="shared" si="8"/>
      </c>
      <c r="CT69" s="2">
        <f t="shared" si="67"/>
      </c>
      <c r="CU69" s="2">
        <f t="shared" si="68"/>
      </c>
      <c r="CV69" s="128">
        <f t="shared" si="69"/>
      </c>
      <c r="CW69" s="2" t="str">
        <f t="shared" si="97"/>
        <v>143.1.1</v>
      </c>
      <c r="CX69" s="2">
        <f t="shared" si="70"/>
        <v>1</v>
      </c>
      <c r="CY69" s="128" t="str">
        <f t="shared" si="71"/>
        <v>143.2.1。【說明：原實際條件成就時間為143.1.1，惟因必須配合學期而延至當學期結束之次日，始能退休生效，爰推算為143.2.1】</v>
      </c>
      <c r="CZ69" s="2">
        <f t="shared" si="72"/>
      </c>
      <c r="DA69" s="2">
        <f t="shared" si="73"/>
      </c>
      <c r="DB69" s="128">
        <f t="shared" si="74"/>
      </c>
      <c r="DC69" s="2">
        <f t="shared" si="75"/>
      </c>
      <c r="DD69" s="2">
        <f t="shared" si="76"/>
      </c>
      <c r="DE69" s="128">
        <f t="shared" si="77"/>
      </c>
      <c r="DF69" s="2"/>
      <c r="DG69" s="2"/>
      <c r="DH69" s="128"/>
      <c r="DI69" s="2">
        <f t="shared" si="78"/>
      </c>
      <c r="DJ69" s="2">
        <f t="shared" si="79"/>
      </c>
      <c r="DK69" s="128">
        <f t="shared" si="80"/>
      </c>
      <c r="DL69" s="128"/>
      <c r="DM69" s="21" t="str">
        <f t="shared" si="81"/>
        <v>143.2.1。【說明：原實際條件成就時間為143.1.1，惟因必須配合學期而延至當學期結束之次日，始能退休生效，爰推算為143.2.1】</v>
      </c>
      <c r="DN69" s="2" t="str">
        <f t="shared" si="82"/>
        <v>143.1.1</v>
      </c>
      <c r="DO69" s="2"/>
      <c r="DP69" s="2"/>
      <c r="DQ69" s="2"/>
      <c r="DR69" s="2"/>
      <c r="DS69" s="2"/>
      <c r="DT69" s="2"/>
      <c r="DU69" s="2"/>
      <c r="DV69" s="10"/>
      <c r="DW69" s="2">
        <f t="shared" si="83"/>
        <v>143</v>
      </c>
      <c r="DX69" s="2">
        <f t="shared" si="84"/>
      </c>
      <c r="DY69" s="34"/>
      <c r="DZ69" s="7">
        <f t="shared" si="85"/>
        <v>1</v>
      </c>
      <c r="EA69" s="123">
        <f t="shared" si="86"/>
        <v>0</v>
      </c>
      <c r="EB69" s="211">
        <f t="shared" si="87"/>
      </c>
      <c r="EC69" s="210">
        <f t="shared" si="88"/>
      </c>
      <c r="ED69" s="210" t="e">
        <f t="shared" si="89"/>
        <v>#VALUE!</v>
      </c>
      <c r="EE69" s="34"/>
      <c r="EF69" s="34"/>
      <c r="EG69" s="34"/>
      <c r="EH69" s="34"/>
      <c r="EI69" s="118">
        <f t="shared" si="90"/>
        <v>0</v>
      </c>
      <c r="EJ69" s="34"/>
      <c r="EK69" s="313">
        <f t="shared" si="91"/>
        <v>58</v>
      </c>
      <c r="EL69" s="34"/>
      <c r="EM69" s="34"/>
      <c r="EN69" s="30">
        <f t="shared" si="92"/>
      </c>
      <c r="EO69" s="30">
        <f t="shared" si="9"/>
      </c>
      <c r="EP69" s="20">
        <f t="shared" si="93"/>
      </c>
      <c r="EQ69" s="315"/>
    </row>
    <row r="70" spans="1:147" s="29" customFormat="1" ht="15" customHeight="1" thickBot="1">
      <c r="A70" s="143"/>
      <c r="B70" s="149">
        <f t="shared" si="98"/>
        <v>144</v>
      </c>
      <c r="C70" s="26">
        <f t="shared" si="94"/>
        <v>20551231</v>
      </c>
      <c r="D70" s="26" t="str">
        <f t="shared" si="10"/>
        <v>2055</v>
      </c>
      <c r="E70" s="26" t="str">
        <f t="shared" si="11"/>
        <v>12</v>
      </c>
      <c r="F70" s="26" t="str">
        <f t="shared" si="12"/>
        <v>31</v>
      </c>
      <c r="G70" s="300">
        <f t="shared" si="13"/>
        <v>56979</v>
      </c>
      <c r="H70" s="116">
        <f t="shared" si="0"/>
        <v>54</v>
      </c>
      <c r="I70" s="116">
        <f t="shared" si="14"/>
        <v>4</v>
      </c>
      <c r="J70" s="26">
        <f t="shared" si="111"/>
        <v>30</v>
      </c>
      <c r="K70" s="117">
        <f t="shared" si="15"/>
        <v>56</v>
      </c>
      <c r="L70" s="117">
        <f t="shared" si="16"/>
        <v>3</v>
      </c>
      <c r="M70" s="117">
        <f t="shared" si="17"/>
        <v>8</v>
      </c>
      <c r="N70" s="571" t="str">
        <f t="shared" si="99"/>
        <v>144.1.1~144.12.31</v>
      </c>
      <c r="O70" s="572"/>
      <c r="P70" s="572"/>
      <c r="Q70" s="573"/>
      <c r="R70" s="390"/>
      <c r="S70" s="391">
        <f t="shared" si="18"/>
        <v>86</v>
      </c>
      <c r="T70" s="392">
        <f t="shared" si="19"/>
        <v>56</v>
      </c>
      <c r="U70" s="393">
        <f t="shared" si="20"/>
        <v>142</v>
      </c>
      <c r="V70" s="148">
        <f t="shared" si="21"/>
      </c>
      <c r="W70" s="430">
        <f t="shared" si="22"/>
      </c>
      <c r="X70" s="402"/>
      <c r="Y70" s="402"/>
      <c r="Z70" s="431"/>
      <c r="AA70" s="277">
        <f t="shared" si="23"/>
      </c>
      <c r="AB70" s="312">
        <f t="shared" si="24"/>
      </c>
      <c r="AC70" s="330">
        <f t="shared" si="25"/>
      </c>
      <c r="AD70" s="102"/>
      <c r="AE70" s="118">
        <f t="shared" si="26"/>
        <v>0</v>
      </c>
      <c r="AF70" s="118">
        <f t="shared" si="27"/>
        <v>0</v>
      </c>
      <c r="AG70" s="118">
        <f t="shared" si="28"/>
        <v>1</v>
      </c>
      <c r="AH70" s="118">
        <f>IF(OR(AE70+AF70+AG70&gt;0,SUM($AE$30:AG69)&gt;0),1,0)</f>
        <v>1</v>
      </c>
      <c r="AI70" s="118">
        <f t="shared" si="29"/>
      </c>
      <c r="AJ70" s="118">
        <f t="shared" si="30"/>
      </c>
      <c r="AK70" s="118" t="str">
        <f t="shared" si="31"/>
        <v>符合「年齡滿65歲、年資滿15年」之擇領月退休金條件</v>
      </c>
      <c r="AL70" s="118" t="str">
        <f t="shared" si="112"/>
        <v>符合「年齡滿65歲、年資滿15年」之擇領月退休金條件</v>
      </c>
      <c r="AM70" s="119">
        <f t="shared" si="113"/>
        <v>0</v>
      </c>
      <c r="AN70" s="119">
        <f t="shared" si="114"/>
        <v>1</v>
      </c>
      <c r="AO70" s="119" t="str">
        <f t="shared" si="115"/>
        <v>符合</v>
      </c>
      <c r="AP70" s="119">
        <f t="shared" si="116"/>
        <v>86</v>
      </c>
      <c r="AQ70" s="119">
        <f t="shared" si="117"/>
        <v>20551231</v>
      </c>
      <c r="AR70" s="119" t="str">
        <f t="shared" si="118"/>
        <v>144.1.1~144.12.31</v>
      </c>
      <c r="AS70" s="120">
        <f t="shared" si="39"/>
      </c>
      <c r="AT70" s="121">
        <f t="shared" si="119"/>
      </c>
      <c r="AU70" s="121">
        <f t="shared" si="41"/>
        <v>1</v>
      </c>
      <c r="AV70" s="119">
        <f t="shared" si="42"/>
      </c>
      <c r="AW70" s="122">
        <f t="shared" si="43"/>
      </c>
      <c r="AX70" s="31">
        <f t="shared" si="44"/>
        <v>0</v>
      </c>
      <c r="AY70" s="7">
        <f t="shared" si="45"/>
        <v>1</v>
      </c>
      <c r="AZ70" s="123">
        <f t="shared" si="46"/>
        <v>1</v>
      </c>
      <c r="BA70" s="123">
        <f t="shared" si="47"/>
        <v>0</v>
      </c>
      <c r="BB70" s="123">
        <f t="shared" si="48"/>
      </c>
      <c r="BC70" s="33"/>
      <c r="BD70" s="33"/>
      <c r="BE70" s="33"/>
      <c r="BF70" s="33"/>
      <c r="BG70" s="30"/>
      <c r="BH70" s="30"/>
      <c r="BI70" s="30"/>
      <c r="BJ70" s="30"/>
      <c r="BK70" s="30"/>
      <c r="BL70" s="30"/>
      <c r="BM70" s="30"/>
      <c r="BN70" s="124"/>
      <c r="BO70" s="125"/>
      <c r="BP70" s="125"/>
      <c r="BQ70" s="126"/>
      <c r="BR70" s="126"/>
      <c r="BS70" s="126"/>
      <c r="BT70" s="127">
        <v>58</v>
      </c>
      <c r="BU70" s="127"/>
      <c r="BV70" s="127"/>
      <c r="BW70" s="179">
        <f t="shared" si="101"/>
        <v>23</v>
      </c>
      <c r="BX70" s="7">
        <f t="shared" si="102"/>
        <v>9</v>
      </c>
      <c r="BY70" s="20">
        <f t="shared" si="51"/>
        <v>144</v>
      </c>
      <c r="BZ70" s="2" t="str">
        <f t="shared" si="52"/>
        <v>144.2.5</v>
      </c>
      <c r="CA70" s="181">
        <f t="shared" si="53"/>
        <v>2</v>
      </c>
      <c r="CB70" s="2">
        <f t="shared" si="103"/>
        <v>5</v>
      </c>
      <c r="CC70" s="2" t="str">
        <f t="shared" si="54"/>
        <v>144.9.28</v>
      </c>
      <c r="CD70" s="181">
        <f t="shared" si="95"/>
        <v>9</v>
      </c>
      <c r="CE70" s="2">
        <f t="shared" si="96"/>
        <v>28</v>
      </c>
      <c r="CF70" s="2" t="str">
        <f t="shared" si="104"/>
        <v>生日</v>
      </c>
      <c r="CG70" s="2" t="str">
        <f t="shared" si="105"/>
        <v>144.2.5</v>
      </c>
      <c r="CH70" s="2">
        <f t="shared" si="106"/>
        <v>2</v>
      </c>
      <c r="CI70" s="2" t="str">
        <f t="shared" si="107"/>
        <v>初任</v>
      </c>
      <c r="CJ70" s="2" t="str">
        <f t="shared" si="108"/>
        <v>144.9.28</v>
      </c>
      <c r="CK70" s="2">
        <f t="shared" si="109"/>
        <v>9</v>
      </c>
      <c r="CL70" s="2">
        <f t="shared" si="110"/>
        <v>0</v>
      </c>
      <c r="CM70" s="339">
        <f t="shared" si="62"/>
      </c>
      <c r="CN70" s="2">
        <f t="shared" si="63"/>
      </c>
      <c r="CO70" s="2">
        <f t="shared" si="64"/>
      </c>
      <c r="CP70" s="2">
        <f t="shared" si="65"/>
      </c>
      <c r="CQ70" s="2">
        <f t="shared" si="66"/>
      </c>
      <c r="CR70" s="2">
        <f t="shared" si="7"/>
      </c>
      <c r="CS70" s="128">
        <f t="shared" si="8"/>
      </c>
      <c r="CT70" s="2">
        <f t="shared" si="67"/>
      </c>
      <c r="CU70" s="2">
        <f t="shared" si="68"/>
      </c>
      <c r="CV70" s="128">
        <f t="shared" si="69"/>
      </c>
      <c r="CW70" s="2" t="str">
        <f t="shared" si="97"/>
        <v>144.1.1</v>
      </c>
      <c r="CX70" s="2">
        <f t="shared" si="70"/>
        <v>1</v>
      </c>
      <c r="CY70" s="128" t="str">
        <f t="shared" si="71"/>
        <v>144.2.1。【說明：原實際條件成就時間為144.1.1，惟因必須配合學期而延至當學期結束之次日，始能退休生效，爰推算為144.2.1】</v>
      </c>
      <c r="CZ70" s="2">
        <f t="shared" si="72"/>
      </c>
      <c r="DA70" s="2">
        <f t="shared" si="73"/>
      </c>
      <c r="DB70" s="128">
        <f t="shared" si="74"/>
      </c>
      <c r="DC70" s="2">
        <f t="shared" si="75"/>
      </c>
      <c r="DD70" s="2">
        <f t="shared" si="76"/>
      </c>
      <c r="DE70" s="128">
        <f t="shared" si="77"/>
      </c>
      <c r="DF70" s="2"/>
      <c r="DG70" s="2"/>
      <c r="DH70" s="128"/>
      <c r="DI70" s="2">
        <f t="shared" si="78"/>
      </c>
      <c r="DJ70" s="2">
        <f t="shared" si="79"/>
      </c>
      <c r="DK70" s="128">
        <f t="shared" si="80"/>
      </c>
      <c r="DL70" s="128"/>
      <c r="DM70" s="21" t="str">
        <f t="shared" si="81"/>
        <v>144.2.1。【說明：原實際條件成就時間為144.1.1，惟因必須配合學期而延至當學期結束之次日，始能退休生效，爰推算為144.2.1】</v>
      </c>
      <c r="DN70" s="2" t="str">
        <f t="shared" si="82"/>
        <v>144.1.1</v>
      </c>
      <c r="DO70" s="2"/>
      <c r="DP70" s="2"/>
      <c r="DQ70" s="2"/>
      <c r="DR70" s="2"/>
      <c r="DS70" s="2"/>
      <c r="DT70" s="2"/>
      <c r="DU70" s="2"/>
      <c r="DV70" s="10"/>
      <c r="DW70" s="2">
        <f t="shared" si="83"/>
        <v>144</v>
      </c>
      <c r="DX70" s="2">
        <f t="shared" si="84"/>
      </c>
      <c r="DY70" s="34"/>
      <c r="DZ70" s="7">
        <f t="shared" si="85"/>
        <v>1</v>
      </c>
      <c r="EA70" s="123">
        <f t="shared" si="86"/>
        <v>0</v>
      </c>
      <c r="EB70" s="211">
        <f t="shared" si="87"/>
      </c>
      <c r="EC70" s="210">
        <f t="shared" si="88"/>
      </c>
      <c r="ED70" s="210" t="e">
        <f t="shared" si="89"/>
        <v>#VALUE!</v>
      </c>
      <c r="EE70" s="34"/>
      <c r="EF70" s="34"/>
      <c r="EG70" s="34"/>
      <c r="EH70" s="34"/>
      <c r="EI70" s="118">
        <f t="shared" si="90"/>
        <v>0</v>
      </c>
      <c r="EJ70" s="34"/>
      <c r="EK70" s="313">
        <f t="shared" si="91"/>
        <v>58</v>
      </c>
      <c r="EL70" s="34"/>
      <c r="EM70" s="34"/>
      <c r="EN70" s="30">
        <f t="shared" si="92"/>
      </c>
      <c r="EO70" s="30">
        <f t="shared" si="9"/>
      </c>
      <c r="EP70" s="20">
        <f t="shared" si="93"/>
      </c>
      <c r="EQ70" s="315"/>
    </row>
    <row r="71" spans="1:147" s="29" customFormat="1" ht="15.75" customHeight="1" hidden="1" thickBot="1" thickTop="1">
      <c r="A71" s="143"/>
      <c r="B71" s="149">
        <f t="shared" si="98"/>
        <v>145</v>
      </c>
      <c r="C71" s="26">
        <f t="shared" si="94"/>
        <v>20561231</v>
      </c>
      <c r="D71" s="26" t="str">
        <f t="shared" si="10"/>
        <v>2056</v>
      </c>
      <c r="E71" s="26" t="str">
        <f t="shared" si="11"/>
        <v>12</v>
      </c>
      <c r="F71" s="26" t="str">
        <f t="shared" si="12"/>
        <v>31</v>
      </c>
      <c r="G71" s="300">
        <f t="shared" si="13"/>
        <v>57345</v>
      </c>
      <c r="H71" s="116">
        <f t="shared" si="0"/>
        <v>55</v>
      </c>
      <c r="I71" s="116">
        <f t="shared" si="14"/>
        <v>4</v>
      </c>
      <c r="J71" s="26">
        <f t="shared" si="111"/>
        <v>30</v>
      </c>
      <c r="K71" s="117">
        <f t="shared" si="15"/>
        <v>57</v>
      </c>
      <c r="L71" s="117">
        <f t="shared" si="16"/>
        <v>3</v>
      </c>
      <c r="M71" s="117">
        <f t="shared" si="17"/>
        <v>8</v>
      </c>
      <c r="N71" s="574" t="str">
        <f t="shared" si="99"/>
        <v>145.1.1~145.12.31</v>
      </c>
      <c r="O71" s="575"/>
      <c r="P71" s="575"/>
      <c r="Q71" s="576"/>
      <c r="R71" s="394">
        <v>60</v>
      </c>
      <c r="S71" s="391">
        <f t="shared" si="18"/>
        <v>87</v>
      </c>
      <c r="T71" s="392">
        <f t="shared" si="19"/>
        <v>57</v>
      </c>
      <c r="U71" s="393">
        <f t="shared" si="20"/>
        <v>144</v>
      </c>
      <c r="V71" s="148">
        <f t="shared" si="21"/>
      </c>
      <c r="W71" s="580">
        <f aca="true" t="shared" si="120" ref="W71:W113">IF($AN$7&gt;=$AN$8,IF(AH71=0,"",IF(OR(AND($S$5="公務人員",R71&lt;90,AH71&gt;AH70),AND($S$5="高中以下教師",R71&lt;85,AH71&gt;AH70)),"★已達法定指標，但可申請退休日期應參閱上方【分析結果】",IF(OR(AND($S$5="公務人員",R71&gt;=90,AH71&gt;AH70),AND($S$5="高中以下教師",R71&gt;=85,AH71&gt;AH70)),"★已符基本條件，但可申請退休日期應參閱上方【分析結果】",""))),AT71)</f>
      </c>
      <c r="X71" s="581"/>
      <c r="Y71" s="581"/>
      <c r="Z71" s="582"/>
      <c r="AA71" s="249">
        <f t="shared" si="23"/>
      </c>
      <c r="AB71" s="307">
        <f t="shared" si="24"/>
      </c>
      <c r="AC71" s="330">
        <f t="shared" si="25"/>
      </c>
      <c r="AD71" s="102"/>
      <c r="AE71" s="118">
        <f t="shared" si="26"/>
        <v>0</v>
      </c>
      <c r="AF71" s="118">
        <f t="shared" si="27"/>
        <v>0</v>
      </c>
      <c r="AG71" s="118">
        <f aca="true" t="shared" si="121" ref="AG71:AG113">IF($S$5="公務人員",IF(AND(S71&gt;=60,T71&gt;29),1,0),IF(AND(S71&gt;=55,T71&gt;29),1,0))</f>
        <v>1</v>
      </c>
      <c r="AH71" s="118">
        <f>IF(OR(AE71+AF71+AG71&gt;0,SUM($AE$30:AG70)&gt;0),1,0)</f>
        <v>1</v>
      </c>
      <c r="AI71" s="118">
        <f t="shared" si="29"/>
      </c>
      <c r="AJ71" s="118">
        <f t="shared" si="30"/>
      </c>
      <c r="AK71" s="118" t="str">
        <f t="shared" si="31"/>
        <v>符合「年齡滿65歲、年資滿15年」之擇領月退休金條件</v>
      </c>
      <c r="AL71" s="118" t="str">
        <f t="shared" si="112"/>
        <v>符合「年齡滿65歲、年資滿15年」之擇領月退休金條件</v>
      </c>
      <c r="AM71" s="119">
        <f t="shared" si="113"/>
        <v>0</v>
      </c>
      <c r="AN71" s="119">
        <f t="shared" si="114"/>
        <v>1</v>
      </c>
      <c r="AO71" s="119" t="str">
        <f t="shared" si="115"/>
        <v>符合</v>
      </c>
      <c r="AP71" s="119">
        <f t="shared" si="116"/>
        <v>87</v>
      </c>
      <c r="AQ71" s="119">
        <f t="shared" si="117"/>
        <v>20561231</v>
      </c>
      <c r="AR71" s="119" t="str">
        <f t="shared" si="118"/>
        <v>145.1.1~145.12.31</v>
      </c>
      <c r="AS71" s="120">
        <f t="shared" si="39"/>
      </c>
      <c r="AT71" s="121">
        <f t="shared" si="119"/>
      </c>
      <c r="AU71" s="121">
        <f t="shared" si="41"/>
        <v>1</v>
      </c>
      <c r="AV71" s="119">
        <f t="shared" si="42"/>
      </c>
      <c r="AW71" s="122">
        <f t="shared" si="43"/>
      </c>
      <c r="AX71" s="31">
        <f t="shared" si="44"/>
        <v>0</v>
      </c>
      <c r="AY71" s="7">
        <f t="shared" si="45"/>
        <v>1</v>
      </c>
      <c r="AZ71" s="123">
        <f t="shared" si="46"/>
        <v>1</v>
      </c>
      <c r="BA71" s="123">
        <f t="shared" si="47"/>
        <v>0</v>
      </c>
      <c r="BB71" s="123">
        <f t="shared" si="48"/>
      </c>
      <c r="BC71" s="33"/>
      <c r="BD71" s="33"/>
      <c r="BE71" s="33"/>
      <c r="BF71" s="33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4"/>
      <c r="BT71" s="34"/>
      <c r="BU71" s="34"/>
      <c r="BV71" s="34"/>
      <c r="BW71" s="179">
        <f t="shared" si="101"/>
        <v>23</v>
      </c>
      <c r="BX71" s="7">
        <f t="shared" si="102"/>
        <v>9</v>
      </c>
      <c r="BY71" s="20">
        <f t="shared" si="51"/>
        <v>145</v>
      </c>
      <c r="BZ71" s="2" t="str">
        <f t="shared" si="52"/>
        <v>145.2.5</v>
      </c>
      <c r="CA71" s="181">
        <f t="shared" si="53"/>
        <v>2</v>
      </c>
      <c r="CB71" s="2">
        <f t="shared" si="103"/>
        <v>5</v>
      </c>
      <c r="CC71" s="2" t="str">
        <f t="shared" si="54"/>
        <v>145.9.28</v>
      </c>
      <c r="CD71" s="181">
        <f t="shared" si="95"/>
        <v>9</v>
      </c>
      <c r="CE71" s="2">
        <f t="shared" si="96"/>
        <v>28</v>
      </c>
      <c r="CF71" s="2" t="str">
        <f t="shared" si="104"/>
        <v>生日</v>
      </c>
      <c r="CG71" s="2" t="str">
        <f t="shared" si="105"/>
        <v>145.2.5</v>
      </c>
      <c r="CH71" s="2">
        <f t="shared" si="106"/>
        <v>2</v>
      </c>
      <c r="CI71" s="2" t="str">
        <f t="shared" si="107"/>
        <v>初任</v>
      </c>
      <c r="CJ71" s="2" t="str">
        <f t="shared" si="108"/>
        <v>145.9.28</v>
      </c>
      <c r="CK71" s="2">
        <f t="shared" si="109"/>
        <v>9</v>
      </c>
      <c r="CL71" s="2">
        <f t="shared" si="110"/>
        <v>0</v>
      </c>
      <c r="CM71" s="339">
        <f t="shared" si="62"/>
      </c>
      <c r="CN71" s="2">
        <f t="shared" si="63"/>
      </c>
      <c r="CO71" s="2">
        <f t="shared" si="64"/>
      </c>
      <c r="CP71" s="2">
        <f t="shared" si="65"/>
      </c>
      <c r="CQ71" s="2">
        <f t="shared" si="66"/>
      </c>
      <c r="CR71" s="2">
        <f t="shared" si="7"/>
      </c>
      <c r="CS71" s="128">
        <f t="shared" si="8"/>
      </c>
      <c r="CT71" s="2">
        <f t="shared" si="67"/>
      </c>
      <c r="CU71" s="2">
        <f t="shared" si="68"/>
      </c>
      <c r="CV71" s="128">
        <f t="shared" si="69"/>
      </c>
      <c r="CW71" s="2" t="str">
        <f t="shared" si="97"/>
        <v>145.1.1</v>
      </c>
      <c r="CX71" s="2">
        <f t="shared" si="70"/>
        <v>1</v>
      </c>
      <c r="CY71" s="128" t="str">
        <f t="shared" si="71"/>
        <v>145.2.1。【說明：原實際條件成就時間為145.1.1，惟因必須配合學期而延至當學期結束之次日，始能退休生效，爰推算為145.2.1】</v>
      </c>
      <c r="CZ71" s="2">
        <f t="shared" si="72"/>
      </c>
      <c r="DA71" s="2">
        <f t="shared" si="73"/>
      </c>
      <c r="DB71" s="128">
        <f t="shared" si="74"/>
      </c>
      <c r="DC71" s="2">
        <f t="shared" si="75"/>
      </c>
      <c r="DD71" s="2">
        <f t="shared" si="76"/>
      </c>
      <c r="DE71" s="128">
        <f t="shared" si="77"/>
      </c>
      <c r="DF71" s="2"/>
      <c r="DG71" s="2"/>
      <c r="DH71" s="128"/>
      <c r="DI71" s="2">
        <f t="shared" si="78"/>
      </c>
      <c r="DJ71" s="2">
        <f t="shared" si="79"/>
      </c>
      <c r="DK71" s="128">
        <f t="shared" si="80"/>
      </c>
      <c r="DL71" s="128"/>
      <c r="DM71" s="21" t="str">
        <f t="shared" si="81"/>
        <v>145.2.1。【說明：原實際條件成就時間為145.1.1，惟因必須配合學期而延至當學期結束之次日，始能退休生效，爰推算為145.2.1】</v>
      </c>
      <c r="DN71" s="2" t="str">
        <f t="shared" si="82"/>
        <v>145.1.1</v>
      </c>
      <c r="DO71" s="2"/>
      <c r="DP71" s="2"/>
      <c r="DQ71" s="2"/>
      <c r="DR71" s="2"/>
      <c r="DS71" s="2"/>
      <c r="DT71" s="2"/>
      <c r="DU71" s="2"/>
      <c r="DV71" s="10"/>
      <c r="DW71" s="2">
        <f t="shared" si="83"/>
        <v>145</v>
      </c>
      <c r="DX71" s="2" t="str">
        <f t="shared" si="84"/>
        <v>◆但@*%#...喔麥尬～上開生效日期已逾121年底的過渡期，仍否再適用指標數規定，恐有疑義！</v>
      </c>
      <c r="DY71" s="34"/>
      <c r="DZ71" s="7">
        <f t="shared" si="85"/>
        <v>1</v>
      </c>
      <c r="EA71" s="123">
        <f t="shared" si="86"/>
        <v>0</v>
      </c>
      <c r="EB71" s="211">
        <f t="shared" si="87"/>
      </c>
      <c r="EC71" s="210">
        <f t="shared" si="88"/>
      </c>
      <c r="ED71" s="210" t="e">
        <f t="shared" si="89"/>
        <v>#VALUE!</v>
      </c>
      <c r="EE71" s="34"/>
      <c r="EF71" s="34"/>
      <c r="EG71" s="34"/>
      <c r="EH71" s="34"/>
      <c r="EI71" s="34"/>
      <c r="EJ71" s="34"/>
      <c r="EK71" s="34"/>
      <c r="EL71" s="34"/>
      <c r="EM71" s="34"/>
      <c r="EN71" s="314"/>
      <c r="EO71" s="30"/>
      <c r="EP71" s="315"/>
      <c r="EQ71" s="315"/>
    </row>
    <row r="72" spans="1:147" s="29" customFormat="1" ht="15.75" customHeight="1" hidden="1" thickBot="1" thickTop="1">
      <c r="A72" s="143"/>
      <c r="B72" s="149">
        <f t="shared" si="98"/>
        <v>146</v>
      </c>
      <c r="C72" s="26">
        <f t="shared" si="94"/>
        <v>20571231</v>
      </c>
      <c r="D72" s="26" t="str">
        <f t="shared" si="10"/>
        <v>2057</v>
      </c>
      <c r="E72" s="26" t="str">
        <f t="shared" si="11"/>
        <v>12</v>
      </c>
      <c r="F72" s="26" t="str">
        <f t="shared" si="12"/>
        <v>31</v>
      </c>
      <c r="G72" s="300">
        <f t="shared" si="13"/>
        <v>57710</v>
      </c>
      <c r="H72" s="116">
        <f t="shared" si="0"/>
        <v>56</v>
      </c>
      <c r="I72" s="116">
        <f t="shared" si="14"/>
        <v>4</v>
      </c>
      <c r="J72" s="26">
        <f t="shared" si="111"/>
        <v>30</v>
      </c>
      <c r="K72" s="117">
        <f t="shared" si="15"/>
        <v>58</v>
      </c>
      <c r="L72" s="117">
        <f t="shared" si="16"/>
        <v>3</v>
      </c>
      <c r="M72" s="117">
        <f t="shared" si="17"/>
        <v>8</v>
      </c>
      <c r="N72" s="574" t="str">
        <f t="shared" si="99"/>
        <v>146.1.1~146.12.31</v>
      </c>
      <c r="O72" s="575"/>
      <c r="P72" s="575"/>
      <c r="Q72" s="576"/>
      <c r="R72" s="394">
        <v>60</v>
      </c>
      <c r="S72" s="391">
        <f t="shared" si="18"/>
        <v>88</v>
      </c>
      <c r="T72" s="392">
        <f t="shared" si="19"/>
        <v>58</v>
      </c>
      <c r="U72" s="393">
        <f t="shared" si="20"/>
        <v>146</v>
      </c>
      <c r="V72" s="148">
        <f t="shared" si="21"/>
      </c>
      <c r="W72" s="580">
        <f t="shared" si="120"/>
      </c>
      <c r="X72" s="581"/>
      <c r="Y72" s="581"/>
      <c r="Z72" s="582"/>
      <c r="AA72" s="249">
        <f t="shared" si="23"/>
      </c>
      <c r="AB72" s="248">
        <f t="shared" si="24"/>
      </c>
      <c r="AC72" s="330">
        <f t="shared" si="25"/>
      </c>
      <c r="AD72" s="102"/>
      <c r="AE72" s="118">
        <f t="shared" si="26"/>
        <v>0</v>
      </c>
      <c r="AF72" s="118">
        <f t="shared" si="27"/>
        <v>0</v>
      </c>
      <c r="AG72" s="118">
        <f t="shared" si="121"/>
        <v>1</v>
      </c>
      <c r="AH72" s="118">
        <f>IF(OR(AE72+AF72+AG72&gt;0,SUM($AE$30:AG71)&gt;0),1,0)</f>
        <v>1</v>
      </c>
      <c r="AI72" s="118">
        <f t="shared" si="29"/>
      </c>
      <c r="AJ72" s="118">
        <f t="shared" si="30"/>
      </c>
      <c r="AK72" s="118" t="str">
        <f t="shared" si="31"/>
        <v>符合「年齡滿65歲、年資滿15年」之擇領月退休金條件</v>
      </c>
      <c r="AL72" s="118" t="str">
        <f t="shared" si="112"/>
        <v>符合「年齡滿65歲、年資滿15年」之擇領月退休金條件</v>
      </c>
      <c r="AM72" s="119">
        <f t="shared" si="113"/>
        <v>0</v>
      </c>
      <c r="AN72" s="119">
        <f t="shared" si="114"/>
        <v>1</v>
      </c>
      <c r="AO72" s="119" t="str">
        <f t="shared" si="115"/>
        <v>符合</v>
      </c>
      <c r="AP72" s="119">
        <f t="shared" si="116"/>
        <v>88</v>
      </c>
      <c r="AQ72" s="119">
        <f t="shared" si="117"/>
        <v>20571231</v>
      </c>
      <c r="AR72" s="119" t="str">
        <f t="shared" si="118"/>
        <v>146.1.1~146.12.31</v>
      </c>
      <c r="AS72" s="120">
        <f t="shared" si="39"/>
      </c>
      <c r="AT72" s="121">
        <f t="shared" si="119"/>
      </c>
      <c r="AU72" s="121">
        <f t="shared" si="41"/>
        <v>1</v>
      </c>
      <c r="AV72" s="119">
        <f t="shared" si="42"/>
      </c>
      <c r="AW72" s="122">
        <f t="shared" si="43"/>
      </c>
      <c r="AX72" s="31">
        <f t="shared" si="44"/>
        <v>0</v>
      </c>
      <c r="AY72" s="7">
        <f t="shared" si="45"/>
        <v>1</v>
      </c>
      <c r="AZ72" s="123">
        <f t="shared" si="46"/>
        <v>1</v>
      </c>
      <c r="BA72" s="123">
        <f t="shared" si="47"/>
        <v>0</v>
      </c>
      <c r="BB72" s="123">
        <f t="shared" si="48"/>
      </c>
      <c r="BC72" s="33"/>
      <c r="BD72" s="33"/>
      <c r="BE72" s="33"/>
      <c r="BF72" s="33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4"/>
      <c r="BT72" s="34"/>
      <c r="BU72" s="34"/>
      <c r="BV72" s="34"/>
      <c r="BW72" s="179">
        <f t="shared" si="101"/>
        <v>23</v>
      </c>
      <c r="BX72" s="7">
        <f t="shared" si="102"/>
        <v>9</v>
      </c>
      <c r="BY72" s="20">
        <f t="shared" si="51"/>
        <v>146</v>
      </c>
      <c r="BZ72" s="2" t="str">
        <f t="shared" si="52"/>
        <v>146.2.5</v>
      </c>
      <c r="CA72" s="181">
        <f t="shared" si="53"/>
        <v>2</v>
      </c>
      <c r="CB72" s="2">
        <f t="shared" si="103"/>
        <v>5</v>
      </c>
      <c r="CC72" s="2" t="str">
        <f t="shared" si="54"/>
        <v>146.9.28</v>
      </c>
      <c r="CD72" s="181">
        <f t="shared" si="95"/>
        <v>9</v>
      </c>
      <c r="CE72" s="2">
        <f t="shared" si="96"/>
        <v>28</v>
      </c>
      <c r="CF72" s="2" t="str">
        <f t="shared" si="104"/>
        <v>生日</v>
      </c>
      <c r="CG72" s="2" t="str">
        <f t="shared" si="105"/>
        <v>146.2.5</v>
      </c>
      <c r="CH72" s="2">
        <f t="shared" si="106"/>
        <v>2</v>
      </c>
      <c r="CI72" s="2" t="str">
        <f t="shared" si="107"/>
        <v>初任</v>
      </c>
      <c r="CJ72" s="2" t="str">
        <f t="shared" si="108"/>
        <v>146.9.28</v>
      </c>
      <c r="CK72" s="2">
        <f t="shared" si="109"/>
        <v>9</v>
      </c>
      <c r="CL72" s="2">
        <f t="shared" si="110"/>
        <v>0</v>
      </c>
      <c r="CM72" s="339">
        <f t="shared" si="62"/>
      </c>
      <c r="CN72" s="2">
        <f t="shared" si="63"/>
      </c>
      <c r="CO72" s="2">
        <f t="shared" si="64"/>
      </c>
      <c r="CP72" s="2">
        <f t="shared" si="65"/>
      </c>
      <c r="CQ72" s="2">
        <f t="shared" si="66"/>
      </c>
      <c r="CR72" s="2">
        <f t="shared" si="7"/>
      </c>
      <c r="CS72" s="128">
        <f t="shared" si="8"/>
      </c>
      <c r="CT72" s="2">
        <f t="shared" si="67"/>
      </c>
      <c r="CU72" s="2">
        <f t="shared" si="68"/>
      </c>
      <c r="CV72" s="128">
        <f t="shared" si="69"/>
      </c>
      <c r="CW72" s="2" t="str">
        <f t="shared" si="97"/>
        <v>146.1.1</v>
      </c>
      <c r="CX72" s="2">
        <f t="shared" si="70"/>
        <v>1</v>
      </c>
      <c r="CY72" s="128" t="str">
        <f t="shared" si="71"/>
        <v>146.2.1。【說明：原實際條件成就時間為146.1.1，惟因必須配合學期而延至當學期結束之次日，始能退休生效，爰推算為146.2.1】</v>
      </c>
      <c r="CZ72" s="2">
        <f t="shared" si="72"/>
      </c>
      <c r="DA72" s="2">
        <f t="shared" si="73"/>
      </c>
      <c r="DB72" s="128">
        <f t="shared" si="74"/>
      </c>
      <c r="DC72" s="2">
        <f t="shared" si="75"/>
      </c>
      <c r="DD72" s="2">
        <f t="shared" si="76"/>
      </c>
      <c r="DE72" s="128">
        <f t="shared" si="77"/>
      </c>
      <c r="DF72" s="2"/>
      <c r="DG72" s="2"/>
      <c r="DH72" s="128"/>
      <c r="DI72" s="2">
        <f t="shared" si="78"/>
      </c>
      <c r="DJ72" s="2">
        <f t="shared" si="79"/>
      </c>
      <c r="DK72" s="128">
        <f t="shared" si="80"/>
      </c>
      <c r="DL72" s="128"/>
      <c r="DM72" s="21" t="str">
        <f t="shared" si="81"/>
        <v>146.2.1。【說明：原實際條件成就時間為146.1.1，惟因必須配合學期而延至當學期結束之次日，始能退休生效，爰推算為146.2.1】</v>
      </c>
      <c r="DN72" s="2" t="str">
        <f t="shared" si="82"/>
        <v>146.1.1</v>
      </c>
      <c r="DO72" s="2"/>
      <c r="DP72" s="2"/>
      <c r="DQ72" s="2"/>
      <c r="DR72" s="2"/>
      <c r="DS72" s="2"/>
      <c r="DT72" s="2"/>
      <c r="DU72" s="2"/>
      <c r="DV72" s="10"/>
      <c r="DW72" s="2">
        <f t="shared" si="83"/>
        <v>146</v>
      </c>
      <c r="DX72" s="2" t="str">
        <f t="shared" si="84"/>
        <v>◆但@*%#...喔麥尬～上開生效日期已逾121年底的過渡期，仍否再適用指標數規定，恐有疑義！</v>
      </c>
      <c r="DY72" s="34"/>
      <c r="DZ72" s="7">
        <f t="shared" si="85"/>
        <v>1</v>
      </c>
      <c r="EA72" s="123">
        <f t="shared" si="86"/>
        <v>0</v>
      </c>
      <c r="EB72" s="211">
        <f t="shared" si="87"/>
      </c>
      <c r="EC72" s="210">
        <f t="shared" si="88"/>
      </c>
      <c r="ED72" s="210" t="e">
        <f t="shared" si="89"/>
        <v>#VALUE!</v>
      </c>
      <c r="EE72" s="34"/>
      <c r="EF72" s="34"/>
      <c r="EG72" s="34"/>
      <c r="EH72" s="34"/>
      <c r="EI72" s="34"/>
      <c r="EJ72" s="34"/>
      <c r="EK72" s="34"/>
      <c r="EL72" s="34"/>
      <c r="EM72" s="34"/>
      <c r="EN72" s="314"/>
      <c r="EO72" s="30"/>
      <c r="EP72" s="315"/>
      <c r="EQ72" s="315"/>
    </row>
    <row r="73" spans="1:147" s="29" customFormat="1" ht="15.75" customHeight="1" hidden="1" thickBot="1" thickTop="1">
      <c r="A73" s="143"/>
      <c r="B73" s="149">
        <f t="shared" si="98"/>
        <v>147</v>
      </c>
      <c r="C73" s="26">
        <f t="shared" si="94"/>
        <v>20581231</v>
      </c>
      <c r="D73" s="26" t="str">
        <f t="shared" si="10"/>
        <v>2058</v>
      </c>
      <c r="E73" s="26" t="str">
        <f t="shared" si="11"/>
        <v>12</v>
      </c>
      <c r="F73" s="26" t="str">
        <f t="shared" si="12"/>
        <v>31</v>
      </c>
      <c r="G73" s="300">
        <f t="shared" si="13"/>
        <v>58075</v>
      </c>
      <c r="H73" s="116">
        <f t="shared" si="0"/>
        <v>57</v>
      </c>
      <c r="I73" s="116">
        <f t="shared" si="14"/>
        <v>4</v>
      </c>
      <c r="J73" s="26">
        <f t="shared" si="111"/>
        <v>30</v>
      </c>
      <c r="K73" s="117">
        <f t="shared" si="15"/>
        <v>59</v>
      </c>
      <c r="L73" s="117">
        <f t="shared" si="16"/>
        <v>3</v>
      </c>
      <c r="M73" s="117">
        <f t="shared" si="17"/>
        <v>8</v>
      </c>
      <c r="N73" s="574" t="str">
        <f t="shared" si="99"/>
        <v>147.1.1~147.12.31</v>
      </c>
      <c r="O73" s="575"/>
      <c r="P73" s="575"/>
      <c r="Q73" s="576"/>
      <c r="R73" s="394">
        <v>60</v>
      </c>
      <c r="S73" s="391">
        <f t="shared" si="18"/>
        <v>89</v>
      </c>
      <c r="T73" s="392">
        <f t="shared" si="19"/>
        <v>59</v>
      </c>
      <c r="U73" s="393">
        <f t="shared" si="20"/>
        <v>148</v>
      </c>
      <c r="V73" s="148">
        <f t="shared" si="21"/>
      </c>
      <c r="W73" s="580">
        <f t="shared" si="120"/>
      </c>
      <c r="X73" s="581"/>
      <c r="Y73" s="581"/>
      <c r="Z73" s="582"/>
      <c r="AA73" s="249">
        <f t="shared" si="23"/>
      </c>
      <c r="AB73" s="248">
        <f t="shared" si="24"/>
      </c>
      <c r="AC73" s="330">
        <f t="shared" si="25"/>
      </c>
      <c r="AD73" s="102"/>
      <c r="AE73" s="118">
        <f t="shared" si="26"/>
        <v>0</v>
      </c>
      <c r="AF73" s="118">
        <f t="shared" si="27"/>
        <v>0</v>
      </c>
      <c r="AG73" s="118">
        <f t="shared" si="121"/>
        <v>1</v>
      </c>
      <c r="AH73" s="118">
        <f>IF(OR(AE73+AF73+AG73&gt;0,SUM($AE$30:AG72)&gt;0),1,0)</f>
        <v>1</v>
      </c>
      <c r="AI73" s="118">
        <f t="shared" si="29"/>
      </c>
      <c r="AJ73" s="118">
        <f t="shared" si="30"/>
      </c>
      <c r="AK73" s="118" t="str">
        <f t="shared" si="31"/>
        <v>符合「年齡滿65歲、年資滿15年」之擇領月退休金條件</v>
      </c>
      <c r="AL73" s="118" t="str">
        <f t="shared" si="112"/>
        <v>符合「年齡滿65歲、年資滿15年」之擇領月退休金條件</v>
      </c>
      <c r="AM73" s="119">
        <f t="shared" si="113"/>
        <v>0</v>
      </c>
      <c r="AN73" s="119">
        <f t="shared" si="114"/>
        <v>1</v>
      </c>
      <c r="AO73" s="119" t="str">
        <f t="shared" si="115"/>
        <v>符合</v>
      </c>
      <c r="AP73" s="119">
        <f t="shared" si="116"/>
        <v>89</v>
      </c>
      <c r="AQ73" s="119">
        <f t="shared" si="117"/>
        <v>20581231</v>
      </c>
      <c r="AR73" s="119" t="str">
        <f t="shared" si="118"/>
        <v>147.1.1~147.12.31</v>
      </c>
      <c r="AS73" s="120">
        <f t="shared" si="39"/>
      </c>
      <c r="AT73" s="121">
        <f t="shared" si="119"/>
      </c>
      <c r="AU73" s="121">
        <f t="shared" si="41"/>
        <v>1</v>
      </c>
      <c r="AV73" s="119">
        <f t="shared" si="42"/>
      </c>
      <c r="AW73" s="122">
        <f t="shared" si="43"/>
      </c>
      <c r="AX73" s="31">
        <f t="shared" si="44"/>
        <v>0</v>
      </c>
      <c r="AY73" s="7">
        <f t="shared" si="45"/>
        <v>1</v>
      </c>
      <c r="AZ73" s="123">
        <f t="shared" si="46"/>
        <v>1</v>
      </c>
      <c r="BA73" s="123">
        <f t="shared" si="47"/>
        <v>0</v>
      </c>
      <c r="BB73" s="123">
        <f t="shared" si="48"/>
      </c>
      <c r="BC73" s="33"/>
      <c r="BD73" s="33"/>
      <c r="BE73" s="33"/>
      <c r="BF73" s="33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4"/>
      <c r="BT73" s="34"/>
      <c r="BU73" s="34"/>
      <c r="BV73" s="34"/>
      <c r="BW73" s="179">
        <f t="shared" si="101"/>
        <v>23</v>
      </c>
      <c r="BX73" s="7">
        <f t="shared" si="102"/>
        <v>9</v>
      </c>
      <c r="BY73" s="20">
        <f t="shared" si="51"/>
        <v>147</v>
      </c>
      <c r="BZ73" s="2" t="str">
        <f t="shared" si="52"/>
        <v>147.2.5</v>
      </c>
      <c r="CA73" s="181">
        <f t="shared" si="53"/>
        <v>2</v>
      </c>
      <c r="CB73" s="2">
        <f t="shared" si="103"/>
        <v>5</v>
      </c>
      <c r="CC73" s="2" t="str">
        <f t="shared" si="54"/>
        <v>147.9.28</v>
      </c>
      <c r="CD73" s="181">
        <f t="shared" si="95"/>
        <v>9</v>
      </c>
      <c r="CE73" s="2">
        <f t="shared" si="96"/>
        <v>28</v>
      </c>
      <c r="CF73" s="2" t="str">
        <f t="shared" si="104"/>
        <v>生日</v>
      </c>
      <c r="CG73" s="2" t="str">
        <f t="shared" si="105"/>
        <v>147.2.5</v>
      </c>
      <c r="CH73" s="2">
        <f t="shared" si="106"/>
        <v>2</v>
      </c>
      <c r="CI73" s="2" t="str">
        <f t="shared" si="107"/>
        <v>初任</v>
      </c>
      <c r="CJ73" s="2" t="str">
        <f t="shared" si="108"/>
        <v>147.9.28</v>
      </c>
      <c r="CK73" s="2">
        <f t="shared" si="109"/>
        <v>9</v>
      </c>
      <c r="CL73" s="2">
        <f t="shared" si="110"/>
        <v>0</v>
      </c>
      <c r="CM73" s="339">
        <f t="shared" si="62"/>
      </c>
      <c r="CN73" s="2">
        <f t="shared" si="63"/>
      </c>
      <c r="CO73" s="2">
        <f t="shared" si="64"/>
      </c>
      <c r="CP73" s="2">
        <f t="shared" si="65"/>
      </c>
      <c r="CQ73" s="2">
        <f t="shared" si="66"/>
      </c>
      <c r="CR73" s="2">
        <f t="shared" si="7"/>
      </c>
      <c r="CS73" s="128">
        <f t="shared" si="8"/>
      </c>
      <c r="CT73" s="2">
        <f t="shared" si="67"/>
      </c>
      <c r="CU73" s="2">
        <f t="shared" si="68"/>
      </c>
      <c r="CV73" s="128">
        <f t="shared" si="69"/>
      </c>
      <c r="CW73" s="2" t="str">
        <f t="shared" si="97"/>
        <v>147.1.1</v>
      </c>
      <c r="CX73" s="2">
        <f t="shared" si="70"/>
        <v>1</v>
      </c>
      <c r="CY73" s="128" t="str">
        <f t="shared" si="71"/>
        <v>147.2.1。【說明：原實際條件成就時間為147.1.1，惟因必須配合學期而延至當學期結束之次日，始能退休生效，爰推算為147.2.1】</v>
      </c>
      <c r="CZ73" s="2">
        <f t="shared" si="72"/>
      </c>
      <c r="DA73" s="2">
        <f t="shared" si="73"/>
      </c>
      <c r="DB73" s="128">
        <f t="shared" si="74"/>
      </c>
      <c r="DC73" s="2">
        <f t="shared" si="75"/>
      </c>
      <c r="DD73" s="2">
        <f t="shared" si="76"/>
      </c>
      <c r="DE73" s="128">
        <f t="shared" si="77"/>
      </c>
      <c r="DF73" s="2"/>
      <c r="DG73" s="2"/>
      <c r="DH73" s="128"/>
      <c r="DI73" s="2">
        <f t="shared" si="78"/>
      </c>
      <c r="DJ73" s="2">
        <f t="shared" si="79"/>
      </c>
      <c r="DK73" s="128">
        <f t="shared" si="80"/>
      </c>
      <c r="DL73" s="128"/>
      <c r="DM73" s="21" t="str">
        <f t="shared" si="81"/>
        <v>147.2.1。【說明：原實際條件成就時間為147.1.1，惟因必須配合學期而延至當學期結束之次日，始能退休生效，爰推算為147.2.1】</v>
      </c>
      <c r="DN73" s="2" t="str">
        <f t="shared" si="82"/>
        <v>147.1.1</v>
      </c>
      <c r="DO73" s="2"/>
      <c r="DP73" s="2"/>
      <c r="DQ73" s="2"/>
      <c r="DR73" s="2"/>
      <c r="DS73" s="2"/>
      <c r="DT73" s="2"/>
      <c r="DU73" s="2"/>
      <c r="DV73" s="10"/>
      <c r="DW73" s="2">
        <f t="shared" si="83"/>
        <v>147</v>
      </c>
      <c r="DX73" s="2" t="str">
        <f t="shared" si="84"/>
        <v>◆但@*%#...喔麥尬～上開生效日期已逾121年底的過渡期，仍否再適用指標數規定，恐有疑義！</v>
      </c>
      <c r="DY73" s="34"/>
      <c r="DZ73" s="7">
        <f t="shared" si="85"/>
        <v>1</v>
      </c>
      <c r="EA73" s="123">
        <f t="shared" si="86"/>
        <v>0</v>
      </c>
      <c r="EB73" s="211">
        <f t="shared" si="87"/>
      </c>
      <c r="EC73" s="210">
        <f t="shared" si="88"/>
      </c>
      <c r="ED73" s="210" t="e">
        <f t="shared" si="89"/>
        <v>#VALUE!</v>
      </c>
      <c r="EE73" s="34"/>
      <c r="EF73" s="34"/>
      <c r="EG73" s="34"/>
      <c r="EH73" s="34"/>
      <c r="EI73" s="34"/>
      <c r="EJ73" s="34"/>
      <c r="EK73" s="34"/>
      <c r="EL73" s="34"/>
      <c r="EM73" s="34"/>
      <c r="EN73" s="314"/>
      <c r="EO73" s="30"/>
      <c r="EP73" s="315"/>
      <c r="EQ73" s="315"/>
    </row>
    <row r="74" spans="1:147" s="29" customFormat="1" ht="15.75" customHeight="1" hidden="1" thickBot="1" thickTop="1">
      <c r="A74" s="143"/>
      <c r="B74" s="149">
        <f t="shared" si="98"/>
        <v>148</v>
      </c>
      <c r="C74" s="26">
        <f t="shared" si="94"/>
        <v>20591231</v>
      </c>
      <c r="D74" s="26" t="str">
        <f t="shared" si="10"/>
        <v>2059</v>
      </c>
      <c r="E74" s="26" t="str">
        <f t="shared" si="11"/>
        <v>12</v>
      </c>
      <c r="F74" s="26" t="str">
        <f t="shared" si="12"/>
        <v>31</v>
      </c>
      <c r="G74" s="300">
        <f t="shared" si="13"/>
        <v>58440</v>
      </c>
      <c r="H74" s="116">
        <f t="shared" si="0"/>
        <v>58</v>
      </c>
      <c r="I74" s="116">
        <f t="shared" si="14"/>
        <v>4</v>
      </c>
      <c r="J74" s="26">
        <f t="shared" si="111"/>
        <v>30</v>
      </c>
      <c r="K74" s="117">
        <f t="shared" si="15"/>
        <v>60</v>
      </c>
      <c r="L74" s="117">
        <f t="shared" si="16"/>
        <v>3</v>
      </c>
      <c r="M74" s="117">
        <f t="shared" si="17"/>
        <v>8</v>
      </c>
      <c r="N74" s="574" t="str">
        <f t="shared" si="99"/>
        <v>148.1.1~148.12.31</v>
      </c>
      <c r="O74" s="575"/>
      <c r="P74" s="575"/>
      <c r="Q74" s="576"/>
      <c r="R74" s="394">
        <v>60</v>
      </c>
      <c r="S74" s="391">
        <f t="shared" si="18"/>
        <v>90</v>
      </c>
      <c r="T74" s="392">
        <f t="shared" si="19"/>
        <v>60</v>
      </c>
      <c r="U74" s="393">
        <f t="shared" si="20"/>
        <v>150</v>
      </c>
      <c r="V74" s="148">
        <f t="shared" si="21"/>
      </c>
      <c r="W74" s="580">
        <f t="shared" si="120"/>
      </c>
      <c r="X74" s="581"/>
      <c r="Y74" s="581"/>
      <c r="Z74" s="582"/>
      <c r="AA74" s="249">
        <f t="shared" si="23"/>
      </c>
      <c r="AB74" s="248">
        <f t="shared" si="24"/>
      </c>
      <c r="AC74" s="330">
        <f t="shared" si="25"/>
      </c>
      <c r="AD74" s="102"/>
      <c r="AE74" s="118">
        <f t="shared" si="26"/>
        <v>0</v>
      </c>
      <c r="AF74" s="118">
        <f t="shared" si="27"/>
        <v>0</v>
      </c>
      <c r="AG74" s="118">
        <f t="shared" si="121"/>
        <v>1</v>
      </c>
      <c r="AH74" s="118">
        <f>IF(OR(AE74+AF74+AG74&gt;0,SUM($AE$30:AG73)&gt;0),1,0)</f>
        <v>1</v>
      </c>
      <c r="AI74" s="118">
        <f t="shared" si="29"/>
      </c>
      <c r="AJ74" s="118">
        <f t="shared" si="30"/>
      </c>
      <c r="AK74" s="118" t="str">
        <f t="shared" si="31"/>
        <v>符合「年齡滿65歲、年資滿15年」之擇領月退休金條件</v>
      </c>
      <c r="AL74" s="118" t="str">
        <f t="shared" si="112"/>
        <v>符合「年齡滿65歲、年資滿15年」之擇領月退休金條件</v>
      </c>
      <c r="AM74" s="119">
        <f t="shared" si="113"/>
        <v>0</v>
      </c>
      <c r="AN74" s="119">
        <f t="shared" si="114"/>
        <v>1</v>
      </c>
      <c r="AO74" s="119" t="str">
        <f t="shared" si="115"/>
        <v>符合</v>
      </c>
      <c r="AP74" s="119">
        <f t="shared" si="116"/>
        <v>90</v>
      </c>
      <c r="AQ74" s="119">
        <f t="shared" si="117"/>
        <v>20591231</v>
      </c>
      <c r="AR74" s="119" t="str">
        <f t="shared" si="118"/>
        <v>148.1.1~148.12.31</v>
      </c>
      <c r="AS74" s="120">
        <f t="shared" si="39"/>
      </c>
      <c r="AT74" s="121">
        <f t="shared" si="119"/>
      </c>
      <c r="AU74" s="121">
        <f t="shared" si="41"/>
        <v>1</v>
      </c>
      <c r="AV74" s="119">
        <f t="shared" si="42"/>
      </c>
      <c r="AW74" s="122">
        <f t="shared" si="43"/>
      </c>
      <c r="AX74" s="31">
        <f t="shared" si="44"/>
        <v>0</v>
      </c>
      <c r="AY74" s="7">
        <f t="shared" si="45"/>
        <v>1</v>
      </c>
      <c r="AZ74" s="123">
        <f t="shared" si="46"/>
        <v>1</v>
      </c>
      <c r="BA74" s="123">
        <f t="shared" si="47"/>
        <v>0</v>
      </c>
      <c r="BB74" s="123">
        <f t="shared" si="48"/>
      </c>
      <c r="BC74" s="33"/>
      <c r="BD74" s="33"/>
      <c r="BE74" s="33"/>
      <c r="BF74" s="33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4"/>
      <c r="BT74" s="34"/>
      <c r="BU74" s="34"/>
      <c r="BV74" s="34"/>
      <c r="BW74" s="179">
        <f t="shared" si="101"/>
        <v>23</v>
      </c>
      <c r="BX74" s="7">
        <f t="shared" si="102"/>
        <v>9</v>
      </c>
      <c r="BY74" s="20">
        <f t="shared" si="51"/>
        <v>148</v>
      </c>
      <c r="BZ74" s="2" t="str">
        <f t="shared" si="52"/>
        <v>148.2.5</v>
      </c>
      <c r="CA74" s="181">
        <f t="shared" si="53"/>
        <v>2</v>
      </c>
      <c r="CB74" s="2">
        <f t="shared" si="103"/>
        <v>5</v>
      </c>
      <c r="CC74" s="2" t="str">
        <f t="shared" si="54"/>
        <v>148.9.28</v>
      </c>
      <c r="CD74" s="181">
        <f t="shared" si="95"/>
        <v>9</v>
      </c>
      <c r="CE74" s="2">
        <f t="shared" si="96"/>
        <v>28</v>
      </c>
      <c r="CF74" s="2" t="str">
        <f t="shared" si="104"/>
        <v>生日</v>
      </c>
      <c r="CG74" s="2" t="str">
        <f t="shared" si="105"/>
        <v>148.2.5</v>
      </c>
      <c r="CH74" s="2">
        <f t="shared" si="106"/>
        <v>2</v>
      </c>
      <c r="CI74" s="2" t="str">
        <f t="shared" si="107"/>
        <v>初任</v>
      </c>
      <c r="CJ74" s="2" t="str">
        <f t="shared" si="108"/>
        <v>148.9.28</v>
      </c>
      <c r="CK74" s="2">
        <f t="shared" si="109"/>
        <v>9</v>
      </c>
      <c r="CL74" s="2">
        <f t="shared" si="110"/>
        <v>0</v>
      </c>
      <c r="CM74" s="339">
        <f t="shared" si="62"/>
      </c>
      <c r="CN74" s="2">
        <f t="shared" si="63"/>
      </c>
      <c r="CO74" s="2">
        <f t="shared" si="64"/>
      </c>
      <c r="CP74" s="2">
        <f t="shared" si="65"/>
      </c>
      <c r="CQ74" s="2">
        <f t="shared" si="66"/>
      </c>
      <c r="CR74" s="2">
        <f t="shared" si="7"/>
      </c>
      <c r="CS74" s="128">
        <f t="shared" si="8"/>
      </c>
      <c r="CT74" s="2">
        <f t="shared" si="67"/>
      </c>
      <c r="CU74" s="2">
        <f t="shared" si="68"/>
      </c>
      <c r="CV74" s="128">
        <f t="shared" si="69"/>
      </c>
      <c r="CW74" s="2" t="str">
        <f t="shared" si="97"/>
        <v>148.1.1</v>
      </c>
      <c r="CX74" s="2">
        <f t="shared" si="70"/>
        <v>1</v>
      </c>
      <c r="CY74" s="128" t="str">
        <f t="shared" si="71"/>
        <v>148.2.1。【說明：原實際條件成就時間為148.1.1，惟因必須配合學期而延至當學期結束之次日，始能退休生效，爰推算為148.2.1】</v>
      </c>
      <c r="CZ74" s="2">
        <f t="shared" si="72"/>
      </c>
      <c r="DA74" s="2">
        <f t="shared" si="73"/>
      </c>
      <c r="DB74" s="128">
        <f t="shared" si="74"/>
      </c>
      <c r="DC74" s="2">
        <f t="shared" si="75"/>
      </c>
      <c r="DD74" s="2">
        <f t="shared" si="76"/>
      </c>
      <c r="DE74" s="128">
        <f t="shared" si="77"/>
      </c>
      <c r="DF74" s="2"/>
      <c r="DG74" s="2"/>
      <c r="DH74" s="128"/>
      <c r="DI74" s="2">
        <f t="shared" si="78"/>
      </c>
      <c r="DJ74" s="2">
        <f t="shared" si="79"/>
      </c>
      <c r="DK74" s="128">
        <f t="shared" si="80"/>
      </c>
      <c r="DL74" s="128"/>
      <c r="DM74" s="21" t="str">
        <f t="shared" si="81"/>
        <v>148.2.1。【說明：原實際條件成就時間為148.1.1，惟因必須配合學期而延至當學期結束之次日，始能退休生效，爰推算為148.2.1】</v>
      </c>
      <c r="DN74" s="2" t="str">
        <f t="shared" si="82"/>
        <v>148.1.1</v>
      </c>
      <c r="DO74" s="2"/>
      <c r="DP74" s="2"/>
      <c r="DQ74" s="2"/>
      <c r="DR74" s="2"/>
      <c r="DS74" s="2"/>
      <c r="DT74" s="2"/>
      <c r="DU74" s="2"/>
      <c r="DV74" s="10"/>
      <c r="DW74" s="2">
        <f t="shared" si="83"/>
        <v>148</v>
      </c>
      <c r="DX74" s="2" t="str">
        <f t="shared" si="84"/>
        <v>◆但@*%#...喔麥尬～上開生效日期已逾121年底的過渡期，仍否再適用指標數規定，恐有疑義！</v>
      </c>
      <c r="DY74" s="34"/>
      <c r="DZ74" s="7">
        <f t="shared" si="85"/>
        <v>1</v>
      </c>
      <c r="EA74" s="123">
        <f t="shared" si="86"/>
        <v>0</v>
      </c>
      <c r="EB74" s="211">
        <f t="shared" si="87"/>
      </c>
      <c r="EC74" s="210">
        <f t="shared" si="88"/>
      </c>
      <c r="ED74" s="210" t="e">
        <f t="shared" si="89"/>
        <v>#VALUE!</v>
      </c>
      <c r="EE74" s="34"/>
      <c r="EF74" s="34"/>
      <c r="EG74" s="34"/>
      <c r="EH74" s="34"/>
      <c r="EI74" s="34"/>
      <c r="EJ74" s="34"/>
      <c r="EK74" s="34"/>
      <c r="EL74" s="34"/>
      <c r="EM74" s="34"/>
      <c r="EN74" s="314"/>
      <c r="EO74" s="30"/>
      <c r="EP74" s="315"/>
      <c r="EQ74" s="315"/>
    </row>
    <row r="75" spans="1:147" s="29" customFormat="1" ht="15.75" customHeight="1" hidden="1" thickBot="1" thickTop="1">
      <c r="A75" s="143"/>
      <c r="B75" s="149">
        <f t="shared" si="98"/>
        <v>149</v>
      </c>
      <c r="C75" s="26">
        <f t="shared" si="94"/>
        <v>20601231</v>
      </c>
      <c r="D75" s="26" t="str">
        <f t="shared" si="10"/>
        <v>2060</v>
      </c>
      <c r="E75" s="26" t="str">
        <f t="shared" si="11"/>
        <v>12</v>
      </c>
      <c r="F75" s="26" t="str">
        <f t="shared" si="12"/>
        <v>31</v>
      </c>
      <c r="G75" s="300">
        <f t="shared" si="13"/>
        <v>58806</v>
      </c>
      <c r="H75" s="116">
        <f t="shared" si="0"/>
        <v>59</v>
      </c>
      <c r="I75" s="116">
        <f t="shared" si="14"/>
        <v>4</v>
      </c>
      <c r="J75" s="26">
        <f t="shared" si="111"/>
        <v>30</v>
      </c>
      <c r="K75" s="117">
        <f t="shared" si="15"/>
        <v>61</v>
      </c>
      <c r="L75" s="117">
        <f t="shared" si="16"/>
        <v>3</v>
      </c>
      <c r="M75" s="117">
        <f t="shared" si="17"/>
        <v>8</v>
      </c>
      <c r="N75" s="574" t="str">
        <f t="shared" si="99"/>
        <v>149.1.1~149.12.31</v>
      </c>
      <c r="O75" s="575"/>
      <c r="P75" s="575"/>
      <c r="Q75" s="576"/>
      <c r="R75" s="394">
        <v>60</v>
      </c>
      <c r="S75" s="391">
        <f t="shared" si="18"/>
        <v>91</v>
      </c>
      <c r="T75" s="392">
        <f t="shared" si="19"/>
        <v>61</v>
      </c>
      <c r="U75" s="393">
        <f t="shared" si="20"/>
        <v>152</v>
      </c>
      <c r="V75" s="148">
        <f t="shared" si="21"/>
      </c>
      <c r="W75" s="580">
        <f t="shared" si="120"/>
      </c>
      <c r="X75" s="581"/>
      <c r="Y75" s="581"/>
      <c r="Z75" s="582"/>
      <c r="AA75" s="249">
        <f t="shared" si="23"/>
      </c>
      <c r="AB75" s="248">
        <f t="shared" si="24"/>
      </c>
      <c r="AC75" s="330">
        <f t="shared" si="25"/>
      </c>
      <c r="AD75" s="102"/>
      <c r="AE75" s="118">
        <f t="shared" si="26"/>
        <v>0</v>
      </c>
      <c r="AF75" s="118">
        <f t="shared" si="27"/>
        <v>0</v>
      </c>
      <c r="AG75" s="118">
        <f t="shared" si="121"/>
        <v>1</v>
      </c>
      <c r="AH75" s="118">
        <f>IF(OR(AE75+AF75+AG75&gt;0,SUM($AE$30:AG74)&gt;0),1,0)</f>
        <v>1</v>
      </c>
      <c r="AI75" s="118">
        <f t="shared" si="29"/>
      </c>
      <c r="AJ75" s="118">
        <f t="shared" si="30"/>
      </c>
      <c r="AK75" s="118" t="str">
        <f t="shared" si="31"/>
        <v>符合「年齡滿65歲、年資滿15年」之擇領月退休金條件</v>
      </c>
      <c r="AL75" s="118" t="str">
        <f t="shared" si="112"/>
        <v>符合「年齡滿65歲、年資滿15年」之擇領月退休金條件</v>
      </c>
      <c r="AM75" s="119">
        <f t="shared" si="113"/>
        <v>0</v>
      </c>
      <c r="AN75" s="119">
        <f t="shared" si="114"/>
        <v>1</v>
      </c>
      <c r="AO75" s="119" t="str">
        <f t="shared" si="115"/>
        <v>符合</v>
      </c>
      <c r="AP75" s="119">
        <f t="shared" si="116"/>
        <v>91</v>
      </c>
      <c r="AQ75" s="119">
        <f t="shared" si="117"/>
        <v>20601231</v>
      </c>
      <c r="AR75" s="119" t="str">
        <f t="shared" si="118"/>
        <v>149.1.1~149.12.31</v>
      </c>
      <c r="AS75" s="120">
        <f t="shared" si="39"/>
      </c>
      <c r="AT75" s="121">
        <f t="shared" si="119"/>
      </c>
      <c r="AU75" s="121">
        <f t="shared" si="41"/>
        <v>1</v>
      </c>
      <c r="AV75" s="119">
        <f t="shared" si="42"/>
      </c>
      <c r="AW75" s="122">
        <f t="shared" si="43"/>
      </c>
      <c r="AX75" s="31">
        <f t="shared" si="44"/>
        <v>0</v>
      </c>
      <c r="AY75" s="7">
        <f t="shared" si="45"/>
        <v>1</v>
      </c>
      <c r="AZ75" s="123">
        <f t="shared" si="46"/>
        <v>1</v>
      </c>
      <c r="BA75" s="123">
        <f t="shared" si="47"/>
        <v>0</v>
      </c>
      <c r="BB75" s="123">
        <f t="shared" si="48"/>
      </c>
      <c r="BC75" s="33"/>
      <c r="BD75" s="33"/>
      <c r="BE75" s="33"/>
      <c r="BF75" s="33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4"/>
      <c r="BT75" s="34"/>
      <c r="BU75" s="34"/>
      <c r="BV75" s="34"/>
      <c r="BW75" s="179">
        <f t="shared" si="101"/>
        <v>23</v>
      </c>
      <c r="BX75" s="7">
        <f t="shared" si="102"/>
        <v>9</v>
      </c>
      <c r="BY75" s="20">
        <f t="shared" si="51"/>
        <v>149</v>
      </c>
      <c r="BZ75" s="2" t="str">
        <f t="shared" si="52"/>
        <v>149.2.5</v>
      </c>
      <c r="CA75" s="181">
        <f t="shared" si="53"/>
        <v>2</v>
      </c>
      <c r="CB75" s="2">
        <f t="shared" si="103"/>
        <v>5</v>
      </c>
      <c r="CC75" s="2" t="str">
        <f t="shared" si="54"/>
        <v>149.9.28</v>
      </c>
      <c r="CD75" s="181">
        <f t="shared" si="95"/>
        <v>9</v>
      </c>
      <c r="CE75" s="2">
        <f t="shared" si="96"/>
        <v>28</v>
      </c>
      <c r="CF75" s="2" t="str">
        <f t="shared" si="104"/>
        <v>生日</v>
      </c>
      <c r="CG75" s="2" t="str">
        <f t="shared" si="105"/>
        <v>149.2.5</v>
      </c>
      <c r="CH75" s="2">
        <f t="shared" si="106"/>
        <v>2</v>
      </c>
      <c r="CI75" s="2" t="str">
        <f t="shared" si="107"/>
        <v>初任</v>
      </c>
      <c r="CJ75" s="2" t="str">
        <f t="shared" si="108"/>
        <v>149.9.28</v>
      </c>
      <c r="CK75" s="2">
        <f t="shared" si="109"/>
        <v>9</v>
      </c>
      <c r="CL75" s="2">
        <f t="shared" si="110"/>
        <v>0</v>
      </c>
      <c r="CM75" s="339">
        <f t="shared" si="62"/>
      </c>
      <c r="CN75" s="2">
        <f t="shared" si="63"/>
      </c>
      <c r="CO75" s="2">
        <f t="shared" si="64"/>
      </c>
      <c r="CP75" s="2">
        <f t="shared" si="65"/>
      </c>
      <c r="CQ75" s="2">
        <f t="shared" si="66"/>
      </c>
      <c r="CR75" s="2">
        <f t="shared" si="7"/>
      </c>
      <c r="CS75" s="128">
        <f t="shared" si="8"/>
      </c>
      <c r="CT75" s="2">
        <f t="shared" si="67"/>
      </c>
      <c r="CU75" s="2">
        <f t="shared" si="68"/>
      </c>
      <c r="CV75" s="128">
        <f t="shared" si="69"/>
      </c>
      <c r="CW75" s="2" t="str">
        <f t="shared" si="97"/>
        <v>149.1.1</v>
      </c>
      <c r="CX75" s="2">
        <f t="shared" si="70"/>
        <v>1</v>
      </c>
      <c r="CY75" s="128" t="str">
        <f t="shared" si="71"/>
        <v>149.2.1。【說明：原實際條件成就時間為149.1.1，惟因必須配合學期而延至當學期結束之次日，始能退休生效，爰推算為149.2.1】</v>
      </c>
      <c r="CZ75" s="2">
        <f t="shared" si="72"/>
      </c>
      <c r="DA75" s="2">
        <f t="shared" si="73"/>
      </c>
      <c r="DB75" s="128">
        <f t="shared" si="74"/>
      </c>
      <c r="DC75" s="2">
        <f t="shared" si="75"/>
      </c>
      <c r="DD75" s="2">
        <f t="shared" si="76"/>
      </c>
      <c r="DE75" s="128">
        <f t="shared" si="77"/>
      </c>
      <c r="DF75" s="2"/>
      <c r="DG75" s="2"/>
      <c r="DH75" s="128"/>
      <c r="DI75" s="2">
        <f t="shared" si="78"/>
      </c>
      <c r="DJ75" s="2">
        <f t="shared" si="79"/>
      </c>
      <c r="DK75" s="128">
        <f t="shared" si="80"/>
      </c>
      <c r="DL75" s="128"/>
      <c r="DM75" s="21" t="str">
        <f t="shared" si="81"/>
        <v>149.2.1。【說明：原實際條件成就時間為149.1.1，惟因必須配合學期而延至當學期結束之次日，始能退休生效，爰推算為149.2.1】</v>
      </c>
      <c r="DN75" s="2" t="str">
        <f t="shared" si="82"/>
        <v>149.1.1</v>
      </c>
      <c r="DO75" s="2"/>
      <c r="DP75" s="2"/>
      <c r="DQ75" s="2"/>
      <c r="DR75" s="2"/>
      <c r="DS75" s="2"/>
      <c r="DT75" s="2"/>
      <c r="DU75" s="2"/>
      <c r="DV75" s="10"/>
      <c r="DW75" s="2">
        <f t="shared" si="83"/>
        <v>149</v>
      </c>
      <c r="DX75" s="2" t="str">
        <f t="shared" si="84"/>
        <v>◆但@*%#...喔麥尬～上開生效日期已逾121年底的過渡期，仍否再適用指標數規定，恐有疑義！</v>
      </c>
      <c r="DY75" s="34"/>
      <c r="DZ75" s="7">
        <f t="shared" si="85"/>
        <v>1</v>
      </c>
      <c r="EA75" s="123">
        <f t="shared" si="86"/>
        <v>0</v>
      </c>
      <c r="EB75" s="211">
        <f t="shared" si="87"/>
      </c>
      <c r="EC75" s="210">
        <f t="shared" si="88"/>
      </c>
      <c r="ED75" s="210" t="e">
        <f t="shared" si="89"/>
        <v>#VALUE!</v>
      </c>
      <c r="EE75" s="34"/>
      <c r="EF75" s="34"/>
      <c r="EG75" s="34"/>
      <c r="EH75" s="34"/>
      <c r="EI75" s="34"/>
      <c r="EJ75" s="34"/>
      <c r="EK75" s="34"/>
      <c r="EL75" s="34"/>
      <c r="EM75" s="34"/>
      <c r="EN75" s="314"/>
      <c r="EO75" s="30"/>
      <c r="EP75" s="315"/>
      <c r="EQ75" s="315"/>
    </row>
    <row r="76" spans="1:147" s="29" customFormat="1" ht="15.75" customHeight="1" hidden="1" thickBot="1" thickTop="1">
      <c r="A76" s="143"/>
      <c r="B76" s="149">
        <f t="shared" si="98"/>
        <v>150</v>
      </c>
      <c r="C76" s="26">
        <f t="shared" si="94"/>
        <v>20611231</v>
      </c>
      <c r="D76" s="26" t="str">
        <f t="shared" si="10"/>
        <v>2061</v>
      </c>
      <c r="E76" s="26" t="str">
        <f t="shared" si="11"/>
        <v>12</v>
      </c>
      <c r="F76" s="26" t="str">
        <f t="shared" si="12"/>
        <v>31</v>
      </c>
      <c r="G76" s="300">
        <f t="shared" si="13"/>
        <v>59171</v>
      </c>
      <c r="H76" s="116">
        <f t="shared" si="0"/>
        <v>60</v>
      </c>
      <c r="I76" s="116">
        <f t="shared" si="14"/>
        <v>4</v>
      </c>
      <c r="J76" s="26">
        <f t="shared" si="111"/>
        <v>30</v>
      </c>
      <c r="K76" s="117">
        <f t="shared" si="15"/>
        <v>62</v>
      </c>
      <c r="L76" s="117">
        <f t="shared" si="16"/>
        <v>3</v>
      </c>
      <c r="M76" s="117">
        <f t="shared" si="17"/>
        <v>8</v>
      </c>
      <c r="N76" s="574" t="str">
        <f t="shared" si="99"/>
        <v>150.1.1~150.12.31</v>
      </c>
      <c r="O76" s="575"/>
      <c r="P76" s="575"/>
      <c r="Q76" s="576"/>
      <c r="R76" s="394">
        <v>60</v>
      </c>
      <c r="S76" s="391">
        <f t="shared" si="18"/>
        <v>92</v>
      </c>
      <c r="T76" s="392">
        <f t="shared" si="19"/>
        <v>62</v>
      </c>
      <c r="U76" s="393">
        <f t="shared" si="20"/>
        <v>154</v>
      </c>
      <c r="V76" s="148">
        <f t="shared" si="21"/>
      </c>
      <c r="W76" s="580">
        <f t="shared" si="120"/>
      </c>
      <c r="X76" s="581"/>
      <c r="Y76" s="581"/>
      <c r="Z76" s="582"/>
      <c r="AA76" s="249">
        <f t="shared" si="23"/>
      </c>
      <c r="AB76" s="248">
        <f t="shared" si="24"/>
      </c>
      <c r="AC76" s="330">
        <f t="shared" si="25"/>
      </c>
      <c r="AD76" s="102"/>
      <c r="AE76" s="118">
        <f t="shared" si="26"/>
        <v>0</v>
      </c>
      <c r="AF76" s="118">
        <f t="shared" si="27"/>
        <v>0</v>
      </c>
      <c r="AG76" s="118">
        <f t="shared" si="121"/>
        <v>1</v>
      </c>
      <c r="AH76" s="118">
        <f>IF(OR(AE76+AF76+AG76&gt;0,SUM($AE$30:AG75)&gt;0),1,0)</f>
        <v>1</v>
      </c>
      <c r="AI76" s="118">
        <f t="shared" si="29"/>
      </c>
      <c r="AJ76" s="118">
        <f t="shared" si="30"/>
      </c>
      <c r="AK76" s="118" t="str">
        <f t="shared" si="31"/>
        <v>符合「年齡滿65歲、年資滿15年」之擇領月退休金條件</v>
      </c>
      <c r="AL76" s="118" t="str">
        <f t="shared" si="112"/>
        <v>符合「年齡滿65歲、年資滿15年」之擇領月退休金條件</v>
      </c>
      <c r="AM76" s="119">
        <f t="shared" si="113"/>
        <v>0</v>
      </c>
      <c r="AN76" s="119">
        <f t="shared" si="114"/>
        <v>1</v>
      </c>
      <c r="AO76" s="119" t="str">
        <f t="shared" si="115"/>
        <v>符合</v>
      </c>
      <c r="AP76" s="119">
        <f t="shared" si="116"/>
        <v>92</v>
      </c>
      <c r="AQ76" s="119">
        <f t="shared" si="117"/>
        <v>20611231</v>
      </c>
      <c r="AR76" s="119" t="str">
        <f t="shared" si="118"/>
        <v>150.1.1~150.12.31</v>
      </c>
      <c r="AS76" s="120">
        <f t="shared" si="39"/>
      </c>
      <c r="AT76" s="121">
        <f t="shared" si="119"/>
      </c>
      <c r="AU76" s="121">
        <f t="shared" si="41"/>
        <v>1</v>
      </c>
      <c r="AV76" s="119">
        <f t="shared" si="42"/>
      </c>
      <c r="AW76" s="122">
        <f t="shared" si="43"/>
      </c>
      <c r="AX76" s="31">
        <f t="shared" si="44"/>
        <v>0</v>
      </c>
      <c r="AY76" s="7">
        <f t="shared" si="45"/>
        <v>1</v>
      </c>
      <c r="AZ76" s="123">
        <f t="shared" si="46"/>
        <v>1</v>
      </c>
      <c r="BA76" s="123">
        <f t="shared" si="47"/>
        <v>0</v>
      </c>
      <c r="BB76" s="123">
        <f t="shared" si="48"/>
      </c>
      <c r="BC76" s="33"/>
      <c r="BD76" s="33"/>
      <c r="BE76" s="33"/>
      <c r="BF76" s="33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4"/>
      <c r="BT76" s="34"/>
      <c r="BU76" s="34"/>
      <c r="BV76" s="34"/>
      <c r="BW76" s="179">
        <f t="shared" si="101"/>
        <v>23</v>
      </c>
      <c r="BX76" s="7">
        <f t="shared" si="102"/>
        <v>9</v>
      </c>
      <c r="BY76" s="20">
        <f t="shared" si="51"/>
        <v>150</v>
      </c>
      <c r="BZ76" s="2" t="str">
        <f t="shared" si="52"/>
        <v>150.2.5</v>
      </c>
      <c r="CA76" s="181">
        <f t="shared" si="53"/>
        <v>2</v>
      </c>
      <c r="CB76" s="2">
        <f t="shared" si="103"/>
        <v>5</v>
      </c>
      <c r="CC76" s="2" t="str">
        <f t="shared" si="54"/>
        <v>150.9.28</v>
      </c>
      <c r="CD76" s="181">
        <f t="shared" si="95"/>
        <v>9</v>
      </c>
      <c r="CE76" s="2">
        <f t="shared" si="96"/>
        <v>28</v>
      </c>
      <c r="CF76" s="2" t="str">
        <f t="shared" si="104"/>
        <v>生日</v>
      </c>
      <c r="CG76" s="2" t="str">
        <f t="shared" si="105"/>
        <v>150.2.5</v>
      </c>
      <c r="CH76" s="2">
        <f t="shared" si="106"/>
        <v>2</v>
      </c>
      <c r="CI76" s="2" t="str">
        <f t="shared" si="107"/>
        <v>初任</v>
      </c>
      <c r="CJ76" s="2" t="str">
        <f t="shared" si="108"/>
        <v>150.9.28</v>
      </c>
      <c r="CK76" s="2">
        <f t="shared" si="109"/>
        <v>9</v>
      </c>
      <c r="CL76" s="2">
        <f t="shared" si="110"/>
        <v>0</v>
      </c>
      <c r="CM76" s="339">
        <f t="shared" si="62"/>
      </c>
      <c r="CN76" s="2">
        <f t="shared" si="63"/>
      </c>
      <c r="CO76" s="2">
        <f t="shared" si="64"/>
      </c>
      <c r="CP76" s="2">
        <f t="shared" si="65"/>
      </c>
      <c r="CQ76" s="2">
        <f t="shared" si="66"/>
      </c>
      <c r="CR76" s="2">
        <f t="shared" si="7"/>
      </c>
      <c r="CS76" s="128">
        <f t="shared" si="8"/>
      </c>
      <c r="CT76" s="2">
        <f t="shared" si="67"/>
      </c>
      <c r="CU76" s="2">
        <f t="shared" si="68"/>
      </c>
      <c r="CV76" s="128">
        <f t="shared" si="69"/>
      </c>
      <c r="CW76" s="2" t="str">
        <f t="shared" si="97"/>
        <v>150.1.1</v>
      </c>
      <c r="CX76" s="2">
        <f t="shared" si="70"/>
        <v>1</v>
      </c>
      <c r="CY76" s="128" t="str">
        <f t="shared" si="71"/>
        <v>150.2.1。【說明：原實際條件成就時間為150.1.1，惟因必須配合學期而延至當學期結束之次日，始能退休生效，爰推算為150.2.1】</v>
      </c>
      <c r="CZ76" s="2">
        <f t="shared" si="72"/>
      </c>
      <c r="DA76" s="2">
        <f t="shared" si="73"/>
      </c>
      <c r="DB76" s="128">
        <f t="shared" si="74"/>
      </c>
      <c r="DC76" s="2">
        <f t="shared" si="75"/>
      </c>
      <c r="DD76" s="2">
        <f t="shared" si="76"/>
      </c>
      <c r="DE76" s="128">
        <f t="shared" si="77"/>
      </c>
      <c r="DF76" s="2"/>
      <c r="DG76" s="2"/>
      <c r="DH76" s="128"/>
      <c r="DI76" s="2">
        <f t="shared" si="78"/>
      </c>
      <c r="DJ76" s="2">
        <f t="shared" si="79"/>
      </c>
      <c r="DK76" s="128">
        <f t="shared" si="80"/>
      </c>
      <c r="DL76" s="128"/>
      <c r="DM76" s="21" t="str">
        <f t="shared" si="81"/>
        <v>150.2.1。【說明：原實際條件成就時間為150.1.1，惟因必須配合學期而延至當學期結束之次日，始能退休生效，爰推算為150.2.1】</v>
      </c>
      <c r="DN76" s="2" t="str">
        <f t="shared" si="82"/>
        <v>150.1.1</v>
      </c>
      <c r="DO76" s="2"/>
      <c r="DP76" s="2"/>
      <c r="DQ76" s="2"/>
      <c r="DR76" s="2"/>
      <c r="DS76" s="2"/>
      <c r="DT76" s="2"/>
      <c r="DU76" s="2"/>
      <c r="DV76" s="10"/>
      <c r="DW76" s="2">
        <f t="shared" si="83"/>
        <v>150</v>
      </c>
      <c r="DX76" s="2" t="str">
        <f t="shared" si="84"/>
        <v>◆但@*%#...喔麥尬～上開生效日期已逾121年底的過渡期，仍否再適用指標數規定，恐有疑義！</v>
      </c>
      <c r="DY76" s="34"/>
      <c r="DZ76" s="7">
        <f t="shared" si="85"/>
        <v>1</v>
      </c>
      <c r="EA76" s="123">
        <f t="shared" si="86"/>
        <v>0</v>
      </c>
      <c r="EB76" s="211">
        <f t="shared" si="87"/>
      </c>
      <c r="EC76" s="210">
        <f t="shared" si="88"/>
      </c>
      <c r="ED76" s="210" t="e">
        <f t="shared" si="89"/>
        <v>#VALUE!</v>
      </c>
      <c r="EE76" s="34"/>
      <c r="EF76" s="34"/>
      <c r="EG76" s="34"/>
      <c r="EH76" s="34"/>
      <c r="EI76" s="34"/>
      <c r="EJ76" s="34"/>
      <c r="EK76" s="34"/>
      <c r="EL76" s="34"/>
      <c r="EM76" s="34"/>
      <c r="EN76" s="314"/>
      <c r="EO76" s="30"/>
      <c r="EP76" s="315"/>
      <c r="EQ76" s="315"/>
    </row>
    <row r="77" spans="1:147" s="29" customFormat="1" ht="15.75" customHeight="1" hidden="1" thickBot="1" thickTop="1">
      <c r="A77" s="143"/>
      <c r="B77" s="149">
        <f t="shared" si="98"/>
        <v>151</v>
      </c>
      <c r="C77" s="26">
        <f t="shared" si="94"/>
        <v>20621231</v>
      </c>
      <c r="D77" s="26" t="str">
        <f t="shared" si="10"/>
        <v>2062</v>
      </c>
      <c r="E77" s="26" t="str">
        <f t="shared" si="11"/>
        <v>12</v>
      </c>
      <c r="F77" s="26" t="str">
        <f t="shared" si="12"/>
        <v>31</v>
      </c>
      <c r="G77" s="300">
        <f t="shared" si="13"/>
        <v>59536</v>
      </c>
      <c r="H77" s="116">
        <f t="shared" si="0"/>
        <v>61</v>
      </c>
      <c r="I77" s="116">
        <f t="shared" si="14"/>
        <v>4</v>
      </c>
      <c r="J77" s="26">
        <f t="shared" si="111"/>
        <v>30</v>
      </c>
      <c r="K77" s="117">
        <f t="shared" si="15"/>
        <v>63</v>
      </c>
      <c r="L77" s="117">
        <f t="shared" si="16"/>
        <v>3</v>
      </c>
      <c r="M77" s="117">
        <f t="shared" si="17"/>
        <v>8</v>
      </c>
      <c r="N77" s="574" t="str">
        <f t="shared" si="99"/>
        <v>151.1.1~151.12.31</v>
      </c>
      <c r="O77" s="575"/>
      <c r="P77" s="575"/>
      <c r="Q77" s="576"/>
      <c r="R77" s="394">
        <v>60</v>
      </c>
      <c r="S77" s="391">
        <f t="shared" si="18"/>
        <v>93</v>
      </c>
      <c r="T77" s="392">
        <f t="shared" si="19"/>
        <v>63</v>
      </c>
      <c r="U77" s="393">
        <f t="shared" si="20"/>
        <v>156</v>
      </c>
      <c r="V77" s="148">
        <f t="shared" si="21"/>
      </c>
      <c r="W77" s="580">
        <f t="shared" si="120"/>
      </c>
      <c r="X77" s="581"/>
      <c r="Y77" s="581"/>
      <c r="Z77" s="582"/>
      <c r="AA77" s="249">
        <f t="shared" si="23"/>
      </c>
      <c r="AB77" s="248">
        <f t="shared" si="24"/>
      </c>
      <c r="AC77" s="330">
        <f t="shared" si="25"/>
      </c>
      <c r="AD77" s="102"/>
      <c r="AE77" s="118">
        <f t="shared" si="26"/>
        <v>0</v>
      </c>
      <c r="AF77" s="118">
        <f t="shared" si="27"/>
        <v>0</v>
      </c>
      <c r="AG77" s="118">
        <f t="shared" si="121"/>
        <v>1</v>
      </c>
      <c r="AH77" s="118">
        <f>IF(OR(AE77+AF77+AG77&gt;0,SUM($AE$30:AG76)&gt;0),1,0)</f>
        <v>1</v>
      </c>
      <c r="AI77" s="118">
        <f t="shared" si="29"/>
      </c>
      <c r="AJ77" s="118">
        <f t="shared" si="30"/>
      </c>
      <c r="AK77" s="118" t="str">
        <f t="shared" si="31"/>
        <v>符合「年齡滿65歲、年資滿15年」之擇領月退休金條件</v>
      </c>
      <c r="AL77" s="118" t="str">
        <f t="shared" si="112"/>
        <v>符合「年齡滿65歲、年資滿15年」之擇領月退休金條件</v>
      </c>
      <c r="AM77" s="119">
        <f t="shared" si="113"/>
        <v>0</v>
      </c>
      <c r="AN77" s="119">
        <f t="shared" si="114"/>
        <v>1</v>
      </c>
      <c r="AO77" s="119" t="str">
        <f t="shared" si="115"/>
        <v>符合</v>
      </c>
      <c r="AP77" s="119">
        <f t="shared" si="116"/>
        <v>93</v>
      </c>
      <c r="AQ77" s="119">
        <f t="shared" si="117"/>
        <v>20621231</v>
      </c>
      <c r="AR77" s="119" t="str">
        <f t="shared" si="118"/>
        <v>151.1.1~151.12.31</v>
      </c>
      <c r="AS77" s="120">
        <f t="shared" si="39"/>
      </c>
      <c r="AT77" s="121">
        <f t="shared" si="119"/>
      </c>
      <c r="AU77" s="121">
        <f t="shared" si="41"/>
        <v>1</v>
      </c>
      <c r="AV77" s="119">
        <f t="shared" si="42"/>
      </c>
      <c r="AW77" s="122">
        <f t="shared" si="43"/>
      </c>
      <c r="AX77" s="31">
        <f t="shared" si="44"/>
        <v>0</v>
      </c>
      <c r="AY77" s="7">
        <f t="shared" si="45"/>
        <v>1</v>
      </c>
      <c r="AZ77" s="123">
        <f t="shared" si="46"/>
        <v>1</v>
      </c>
      <c r="BA77" s="123">
        <f t="shared" si="47"/>
        <v>0</v>
      </c>
      <c r="BB77" s="123">
        <f t="shared" si="48"/>
      </c>
      <c r="BC77" s="33"/>
      <c r="BD77" s="33"/>
      <c r="BE77" s="33"/>
      <c r="BF77" s="33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4"/>
      <c r="BT77" s="34"/>
      <c r="BU77" s="34"/>
      <c r="BV77" s="34"/>
      <c r="BW77" s="179">
        <f t="shared" si="101"/>
        <v>23</v>
      </c>
      <c r="BX77" s="7">
        <f t="shared" si="102"/>
        <v>9</v>
      </c>
      <c r="BY77" s="20">
        <f t="shared" si="51"/>
        <v>151</v>
      </c>
      <c r="BZ77" s="2" t="str">
        <f t="shared" si="52"/>
        <v>151.2.5</v>
      </c>
      <c r="CA77" s="181">
        <f t="shared" si="53"/>
        <v>2</v>
      </c>
      <c r="CB77" s="2">
        <f t="shared" si="103"/>
        <v>5</v>
      </c>
      <c r="CC77" s="2" t="str">
        <f t="shared" si="54"/>
        <v>151.9.28</v>
      </c>
      <c r="CD77" s="181">
        <f t="shared" si="95"/>
        <v>9</v>
      </c>
      <c r="CE77" s="2">
        <f t="shared" si="96"/>
        <v>28</v>
      </c>
      <c r="CF77" s="2" t="str">
        <f t="shared" si="104"/>
        <v>生日</v>
      </c>
      <c r="CG77" s="2" t="str">
        <f t="shared" si="105"/>
        <v>151.2.5</v>
      </c>
      <c r="CH77" s="2">
        <f t="shared" si="106"/>
        <v>2</v>
      </c>
      <c r="CI77" s="2" t="str">
        <f t="shared" si="107"/>
        <v>初任</v>
      </c>
      <c r="CJ77" s="2" t="str">
        <f t="shared" si="108"/>
        <v>151.9.28</v>
      </c>
      <c r="CK77" s="2">
        <f t="shared" si="109"/>
        <v>9</v>
      </c>
      <c r="CL77" s="2">
        <f t="shared" si="110"/>
        <v>0</v>
      </c>
      <c r="CM77" s="339">
        <f t="shared" si="62"/>
      </c>
      <c r="CN77" s="2">
        <f t="shared" si="63"/>
      </c>
      <c r="CO77" s="2">
        <f t="shared" si="64"/>
      </c>
      <c r="CP77" s="2">
        <f t="shared" si="65"/>
      </c>
      <c r="CQ77" s="2">
        <f t="shared" si="66"/>
      </c>
      <c r="CR77" s="2">
        <f t="shared" si="7"/>
      </c>
      <c r="CS77" s="128">
        <f t="shared" si="8"/>
      </c>
      <c r="CT77" s="2">
        <f t="shared" si="67"/>
      </c>
      <c r="CU77" s="2">
        <f t="shared" si="68"/>
      </c>
      <c r="CV77" s="128">
        <f t="shared" si="69"/>
      </c>
      <c r="CW77" s="2" t="str">
        <f t="shared" si="97"/>
        <v>151.1.1</v>
      </c>
      <c r="CX77" s="2">
        <f t="shared" si="70"/>
        <v>1</v>
      </c>
      <c r="CY77" s="128" t="str">
        <f t="shared" si="71"/>
        <v>151.2.1。【說明：原實際條件成就時間為151.1.1，惟因必須配合學期而延至當學期結束之次日，始能退休生效，爰推算為151.2.1】</v>
      </c>
      <c r="CZ77" s="2">
        <f t="shared" si="72"/>
      </c>
      <c r="DA77" s="2">
        <f t="shared" si="73"/>
      </c>
      <c r="DB77" s="128">
        <f t="shared" si="74"/>
      </c>
      <c r="DC77" s="2">
        <f t="shared" si="75"/>
      </c>
      <c r="DD77" s="2">
        <f t="shared" si="76"/>
      </c>
      <c r="DE77" s="128">
        <f t="shared" si="77"/>
      </c>
      <c r="DF77" s="2"/>
      <c r="DG77" s="2"/>
      <c r="DH77" s="128"/>
      <c r="DI77" s="2">
        <f t="shared" si="78"/>
      </c>
      <c r="DJ77" s="2">
        <f t="shared" si="79"/>
      </c>
      <c r="DK77" s="128">
        <f t="shared" si="80"/>
      </c>
      <c r="DL77" s="128"/>
      <c r="DM77" s="21" t="str">
        <f t="shared" si="81"/>
        <v>151.2.1。【說明：原實際條件成就時間為151.1.1，惟因必須配合學期而延至當學期結束之次日，始能退休生效，爰推算為151.2.1】</v>
      </c>
      <c r="DN77" s="2" t="str">
        <f t="shared" si="82"/>
        <v>151.1.1</v>
      </c>
      <c r="DO77" s="2"/>
      <c r="DP77" s="2"/>
      <c r="DQ77" s="2"/>
      <c r="DR77" s="2"/>
      <c r="DS77" s="2"/>
      <c r="DT77" s="2"/>
      <c r="DU77" s="2"/>
      <c r="DV77" s="10"/>
      <c r="DW77" s="2">
        <f t="shared" si="83"/>
        <v>151</v>
      </c>
      <c r="DX77" s="2" t="str">
        <f t="shared" si="84"/>
        <v>◆但@*%#...喔麥尬～上開生效日期已逾121年底的過渡期，仍否再適用指標數規定，恐有疑義！</v>
      </c>
      <c r="DY77" s="34"/>
      <c r="DZ77" s="7">
        <f t="shared" si="85"/>
        <v>1</v>
      </c>
      <c r="EA77" s="123">
        <f t="shared" si="86"/>
        <v>0</v>
      </c>
      <c r="EB77" s="211">
        <f t="shared" si="87"/>
      </c>
      <c r="EC77" s="210">
        <f t="shared" si="88"/>
      </c>
      <c r="ED77" s="210" t="e">
        <f t="shared" si="89"/>
        <v>#VALUE!</v>
      </c>
      <c r="EE77" s="34"/>
      <c r="EF77" s="34"/>
      <c r="EG77" s="34"/>
      <c r="EH77" s="34"/>
      <c r="EI77" s="34"/>
      <c r="EJ77" s="34"/>
      <c r="EK77" s="34"/>
      <c r="EL77" s="34"/>
      <c r="EM77" s="34"/>
      <c r="EN77" s="314"/>
      <c r="EO77" s="30"/>
      <c r="EP77" s="315"/>
      <c r="EQ77" s="315"/>
    </row>
    <row r="78" spans="1:147" s="29" customFormat="1" ht="15.75" customHeight="1" hidden="1" thickBot="1" thickTop="1">
      <c r="A78" s="143"/>
      <c r="B78" s="149">
        <f t="shared" si="98"/>
        <v>152</v>
      </c>
      <c r="C78" s="26">
        <f t="shared" si="94"/>
        <v>20631231</v>
      </c>
      <c r="D78" s="26" t="str">
        <f t="shared" si="10"/>
        <v>2063</v>
      </c>
      <c r="E78" s="26" t="str">
        <f t="shared" si="11"/>
        <v>12</v>
      </c>
      <c r="F78" s="26" t="str">
        <f t="shared" si="12"/>
        <v>31</v>
      </c>
      <c r="G78" s="300">
        <f t="shared" si="13"/>
        <v>59901</v>
      </c>
      <c r="H78" s="116">
        <f t="shared" si="0"/>
        <v>62</v>
      </c>
      <c r="I78" s="116">
        <f t="shared" si="14"/>
        <v>4</v>
      </c>
      <c r="J78" s="26">
        <f t="shared" si="111"/>
        <v>30</v>
      </c>
      <c r="K78" s="117">
        <f t="shared" si="15"/>
        <v>64</v>
      </c>
      <c r="L78" s="117">
        <f t="shared" si="16"/>
        <v>3</v>
      </c>
      <c r="M78" s="117">
        <f t="shared" si="17"/>
        <v>8</v>
      </c>
      <c r="N78" s="574" t="str">
        <f t="shared" si="99"/>
        <v>152.1.1~152.12.31</v>
      </c>
      <c r="O78" s="575"/>
      <c r="P78" s="575"/>
      <c r="Q78" s="576"/>
      <c r="R78" s="394">
        <v>60</v>
      </c>
      <c r="S78" s="391">
        <f t="shared" si="18"/>
        <v>94</v>
      </c>
      <c r="T78" s="392">
        <f t="shared" si="19"/>
        <v>64</v>
      </c>
      <c r="U78" s="393">
        <f t="shared" si="20"/>
        <v>158</v>
      </c>
      <c r="V78" s="148">
        <f t="shared" si="21"/>
      </c>
      <c r="W78" s="580">
        <f t="shared" si="120"/>
      </c>
      <c r="X78" s="581"/>
      <c r="Y78" s="581"/>
      <c r="Z78" s="582"/>
      <c r="AA78" s="249">
        <f t="shared" si="23"/>
      </c>
      <c r="AB78" s="248">
        <f t="shared" si="24"/>
      </c>
      <c r="AC78" s="330">
        <f t="shared" si="25"/>
      </c>
      <c r="AD78" s="102"/>
      <c r="AE78" s="118">
        <f t="shared" si="26"/>
        <v>0</v>
      </c>
      <c r="AF78" s="118">
        <f t="shared" si="27"/>
        <v>0</v>
      </c>
      <c r="AG78" s="118">
        <f t="shared" si="121"/>
        <v>1</v>
      </c>
      <c r="AH78" s="118">
        <f>IF(OR(AE78+AF78+AG78&gt;0,SUM($AE$30:AG77)&gt;0),1,0)</f>
        <v>1</v>
      </c>
      <c r="AI78" s="118">
        <f t="shared" si="29"/>
      </c>
      <c r="AJ78" s="118">
        <f t="shared" si="30"/>
      </c>
      <c r="AK78" s="118" t="str">
        <f t="shared" si="31"/>
        <v>符合「年齡滿65歲、年資滿15年」之擇領月退休金條件</v>
      </c>
      <c r="AL78" s="118" t="str">
        <f t="shared" si="112"/>
        <v>符合「年齡滿65歲、年資滿15年」之擇領月退休金條件</v>
      </c>
      <c r="AM78" s="119">
        <f t="shared" si="113"/>
        <v>0</v>
      </c>
      <c r="AN78" s="119">
        <f t="shared" si="114"/>
        <v>1</v>
      </c>
      <c r="AO78" s="119" t="str">
        <f t="shared" si="115"/>
        <v>符合</v>
      </c>
      <c r="AP78" s="119">
        <f t="shared" si="116"/>
        <v>94</v>
      </c>
      <c r="AQ78" s="119">
        <f t="shared" si="117"/>
        <v>20631231</v>
      </c>
      <c r="AR78" s="119" t="str">
        <f t="shared" si="118"/>
        <v>152.1.1~152.12.31</v>
      </c>
      <c r="AS78" s="120">
        <f t="shared" si="39"/>
      </c>
      <c r="AT78" s="121">
        <f t="shared" si="119"/>
      </c>
      <c r="AU78" s="121">
        <f t="shared" si="41"/>
        <v>1</v>
      </c>
      <c r="AV78" s="119">
        <f t="shared" si="42"/>
      </c>
      <c r="AW78" s="122">
        <f t="shared" si="43"/>
      </c>
      <c r="AX78" s="31">
        <f t="shared" si="44"/>
        <v>0</v>
      </c>
      <c r="AY78" s="7">
        <f t="shared" si="45"/>
        <v>1</v>
      </c>
      <c r="AZ78" s="123">
        <f t="shared" si="46"/>
        <v>1</v>
      </c>
      <c r="BA78" s="123">
        <f t="shared" si="47"/>
        <v>0</v>
      </c>
      <c r="BB78" s="123">
        <f t="shared" si="48"/>
      </c>
      <c r="BC78" s="33"/>
      <c r="BD78" s="33"/>
      <c r="BE78" s="33"/>
      <c r="BF78" s="33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4"/>
      <c r="BT78" s="34"/>
      <c r="BU78" s="34"/>
      <c r="BV78" s="34"/>
      <c r="BW78" s="179">
        <f t="shared" si="101"/>
        <v>23</v>
      </c>
      <c r="BX78" s="7">
        <f t="shared" si="102"/>
        <v>9</v>
      </c>
      <c r="BY78" s="20">
        <f t="shared" si="51"/>
        <v>152</v>
      </c>
      <c r="BZ78" s="2" t="str">
        <f t="shared" si="52"/>
        <v>152.2.5</v>
      </c>
      <c r="CA78" s="181">
        <f t="shared" si="53"/>
        <v>2</v>
      </c>
      <c r="CB78" s="2">
        <f t="shared" si="103"/>
        <v>5</v>
      </c>
      <c r="CC78" s="2" t="str">
        <f t="shared" si="54"/>
        <v>152.9.28</v>
      </c>
      <c r="CD78" s="181">
        <f t="shared" si="95"/>
        <v>9</v>
      </c>
      <c r="CE78" s="2">
        <f t="shared" si="96"/>
        <v>28</v>
      </c>
      <c r="CF78" s="2" t="str">
        <f t="shared" si="104"/>
        <v>生日</v>
      </c>
      <c r="CG78" s="2" t="str">
        <f t="shared" si="105"/>
        <v>152.2.5</v>
      </c>
      <c r="CH78" s="2">
        <f t="shared" si="106"/>
        <v>2</v>
      </c>
      <c r="CI78" s="2" t="str">
        <f t="shared" si="107"/>
        <v>初任</v>
      </c>
      <c r="CJ78" s="2" t="str">
        <f t="shared" si="108"/>
        <v>152.9.28</v>
      </c>
      <c r="CK78" s="2">
        <f t="shared" si="109"/>
        <v>9</v>
      </c>
      <c r="CL78" s="2">
        <f t="shared" si="110"/>
        <v>0</v>
      </c>
      <c r="CM78" s="339">
        <f t="shared" si="62"/>
      </c>
      <c r="CN78" s="2">
        <f t="shared" si="63"/>
      </c>
      <c r="CO78" s="2">
        <f t="shared" si="64"/>
      </c>
      <c r="CP78" s="2">
        <f t="shared" si="65"/>
      </c>
      <c r="CQ78" s="2">
        <f t="shared" si="66"/>
      </c>
      <c r="CR78" s="2">
        <f t="shared" si="7"/>
      </c>
      <c r="CS78" s="128">
        <f t="shared" si="8"/>
      </c>
      <c r="CT78" s="2">
        <f t="shared" si="67"/>
      </c>
      <c r="CU78" s="2">
        <f t="shared" si="68"/>
      </c>
      <c r="CV78" s="128">
        <f t="shared" si="69"/>
      </c>
      <c r="CW78" s="2" t="str">
        <f t="shared" si="97"/>
        <v>152.1.1</v>
      </c>
      <c r="CX78" s="2">
        <f t="shared" si="70"/>
        <v>1</v>
      </c>
      <c r="CY78" s="128" t="str">
        <f t="shared" si="71"/>
        <v>152.2.1。【說明：原實際條件成就時間為152.1.1，惟因必須配合學期而延至當學期結束之次日，始能退休生效，爰推算為152.2.1】</v>
      </c>
      <c r="CZ78" s="2">
        <f t="shared" si="72"/>
      </c>
      <c r="DA78" s="2">
        <f t="shared" si="73"/>
      </c>
      <c r="DB78" s="128">
        <f t="shared" si="74"/>
      </c>
      <c r="DC78" s="2">
        <f t="shared" si="75"/>
      </c>
      <c r="DD78" s="2">
        <f t="shared" si="76"/>
      </c>
      <c r="DE78" s="128">
        <f t="shared" si="77"/>
      </c>
      <c r="DF78" s="2"/>
      <c r="DG78" s="2"/>
      <c r="DH78" s="128"/>
      <c r="DI78" s="2">
        <f t="shared" si="78"/>
      </c>
      <c r="DJ78" s="2">
        <f t="shared" si="79"/>
      </c>
      <c r="DK78" s="128">
        <f t="shared" si="80"/>
      </c>
      <c r="DL78" s="128"/>
      <c r="DM78" s="21" t="str">
        <f t="shared" si="81"/>
        <v>152.2.1。【說明：原實際條件成就時間為152.1.1，惟因必須配合學期而延至當學期結束之次日，始能退休生效，爰推算為152.2.1】</v>
      </c>
      <c r="DN78" s="2" t="str">
        <f t="shared" si="82"/>
        <v>152.1.1</v>
      </c>
      <c r="DO78" s="2"/>
      <c r="DP78" s="2"/>
      <c r="DQ78" s="2"/>
      <c r="DR78" s="2"/>
      <c r="DS78" s="2"/>
      <c r="DT78" s="2"/>
      <c r="DU78" s="2"/>
      <c r="DV78" s="10"/>
      <c r="DW78" s="2">
        <f t="shared" si="83"/>
        <v>152</v>
      </c>
      <c r="DX78" s="2" t="str">
        <f t="shared" si="84"/>
        <v>◆但@*%#...喔麥尬～上開生效日期已逾121年底的過渡期，仍否再適用指標數規定，恐有疑義！</v>
      </c>
      <c r="DY78" s="34"/>
      <c r="DZ78" s="7">
        <f t="shared" si="85"/>
        <v>1</v>
      </c>
      <c r="EA78" s="123">
        <f t="shared" si="86"/>
        <v>0</v>
      </c>
      <c r="EB78" s="211">
        <f t="shared" si="87"/>
      </c>
      <c r="EC78" s="210">
        <f t="shared" si="88"/>
      </c>
      <c r="ED78" s="210" t="e">
        <f t="shared" si="89"/>
        <v>#VALUE!</v>
      </c>
      <c r="EE78" s="34"/>
      <c r="EF78" s="34"/>
      <c r="EG78" s="34"/>
      <c r="EH78" s="34"/>
      <c r="EI78" s="34"/>
      <c r="EJ78" s="34"/>
      <c r="EK78" s="34"/>
      <c r="EL78" s="34"/>
      <c r="EM78" s="34"/>
      <c r="EN78" s="314"/>
      <c r="EO78" s="30"/>
      <c r="EP78" s="315"/>
      <c r="EQ78" s="315"/>
    </row>
    <row r="79" spans="1:147" s="29" customFormat="1" ht="15.75" customHeight="1" hidden="1" thickBot="1" thickTop="1">
      <c r="A79" s="143"/>
      <c r="B79" s="149">
        <f t="shared" si="98"/>
        <v>153</v>
      </c>
      <c r="C79" s="26">
        <f t="shared" si="94"/>
        <v>20641231</v>
      </c>
      <c r="D79" s="26" t="str">
        <f t="shared" si="10"/>
        <v>2064</v>
      </c>
      <c r="E79" s="26" t="str">
        <f t="shared" si="11"/>
        <v>12</v>
      </c>
      <c r="F79" s="26" t="str">
        <f t="shared" si="12"/>
        <v>31</v>
      </c>
      <c r="G79" s="300">
        <f t="shared" si="13"/>
        <v>60267</v>
      </c>
      <c r="H79" s="116">
        <f t="shared" si="0"/>
        <v>63</v>
      </c>
      <c r="I79" s="116">
        <f t="shared" si="14"/>
        <v>4</v>
      </c>
      <c r="J79" s="26">
        <f t="shared" si="111"/>
        <v>30</v>
      </c>
      <c r="K79" s="117">
        <f t="shared" si="15"/>
        <v>65</v>
      </c>
      <c r="L79" s="117">
        <f t="shared" si="16"/>
        <v>3</v>
      </c>
      <c r="M79" s="117">
        <f t="shared" si="17"/>
        <v>8</v>
      </c>
      <c r="N79" s="574" t="str">
        <f t="shared" si="99"/>
        <v>153.1.1~153.12.31</v>
      </c>
      <c r="O79" s="575"/>
      <c r="P79" s="575"/>
      <c r="Q79" s="576"/>
      <c r="R79" s="394">
        <v>60</v>
      </c>
      <c r="S79" s="391">
        <f t="shared" si="18"/>
        <v>95</v>
      </c>
      <c r="T79" s="392">
        <f t="shared" si="19"/>
        <v>65</v>
      </c>
      <c r="U79" s="393">
        <f t="shared" si="20"/>
        <v>160</v>
      </c>
      <c r="V79" s="148">
        <f t="shared" si="21"/>
      </c>
      <c r="W79" s="580">
        <f t="shared" si="120"/>
      </c>
      <c r="X79" s="581"/>
      <c r="Y79" s="581"/>
      <c r="Z79" s="582"/>
      <c r="AA79" s="249">
        <f t="shared" si="23"/>
      </c>
      <c r="AB79" s="248">
        <f t="shared" si="24"/>
      </c>
      <c r="AC79" s="330">
        <f t="shared" si="25"/>
      </c>
      <c r="AD79" s="102"/>
      <c r="AE79" s="118">
        <f t="shared" si="26"/>
        <v>0</v>
      </c>
      <c r="AF79" s="118">
        <f t="shared" si="27"/>
        <v>0</v>
      </c>
      <c r="AG79" s="118">
        <f t="shared" si="121"/>
        <v>1</v>
      </c>
      <c r="AH79" s="118">
        <f>IF(OR(AE79+AF79+AG79&gt;0,SUM($AE$30:AG78)&gt;0),1,0)</f>
        <v>1</v>
      </c>
      <c r="AI79" s="118">
        <f t="shared" si="29"/>
      </c>
      <c r="AJ79" s="118">
        <f t="shared" si="30"/>
      </c>
      <c r="AK79" s="118" t="str">
        <f t="shared" si="31"/>
        <v>符合「年齡滿65歲、年資滿15年」之擇領月退休金條件</v>
      </c>
      <c r="AL79" s="118" t="str">
        <f t="shared" si="112"/>
        <v>符合「年齡滿65歲、年資滿15年」之擇領月退休金條件</v>
      </c>
      <c r="AM79" s="119">
        <f t="shared" si="113"/>
        <v>0</v>
      </c>
      <c r="AN79" s="119">
        <f t="shared" si="114"/>
        <v>1</v>
      </c>
      <c r="AO79" s="119" t="str">
        <f t="shared" si="115"/>
        <v>符合</v>
      </c>
      <c r="AP79" s="119">
        <f t="shared" si="116"/>
        <v>95</v>
      </c>
      <c r="AQ79" s="119">
        <f t="shared" si="117"/>
        <v>20641231</v>
      </c>
      <c r="AR79" s="119" t="str">
        <f t="shared" si="118"/>
        <v>153.1.1~153.12.31</v>
      </c>
      <c r="AS79" s="120">
        <f t="shared" si="39"/>
      </c>
      <c r="AT79" s="121">
        <f t="shared" si="119"/>
      </c>
      <c r="AU79" s="121">
        <f t="shared" si="41"/>
        <v>1</v>
      </c>
      <c r="AV79" s="119">
        <f t="shared" si="42"/>
      </c>
      <c r="AW79" s="122">
        <f t="shared" si="43"/>
      </c>
      <c r="AX79" s="31">
        <f t="shared" si="44"/>
        <v>0</v>
      </c>
      <c r="AY79" s="7">
        <f t="shared" si="45"/>
        <v>1</v>
      </c>
      <c r="AZ79" s="123">
        <f t="shared" si="46"/>
        <v>1</v>
      </c>
      <c r="BA79" s="123">
        <f t="shared" si="47"/>
        <v>0</v>
      </c>
      <c r="BB79" s="123">
        <f t="shared" si="48"/>
      </c>
      <c r="BC79" s="33"/>
      <c r="BD79" s="33"/>
      <c r="BE79" s="33"/>
      <c r="BF79" s="33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4"/>
      <c r="BT79" s="34"/>
      <c r="BU79" s="34"/>
      <c r="BV79" s="34"/>
      <c r="BW79" s="179">
        <f t="shared" si="101"/>
        <v>23</v>
      </c>
      <c r="BX79" s="7">
        <f t="shared" si="102"/>
        <v>9</v>
      </c>
      <c r="BY79" s="20">
        <f t="shared" si="51"/>
        <v>153</v>
      </c>
      <c r="BZ79" s="2" t="str">
        <f t="shared" si="52"/>
        <v>153.2.5</v>
      </c>
      <c r="CA79" s="181">
        <f t="shared" si="53"/>
        <v>2</v>
      </c>
      <c r="CB79" s="2">
        <f t="shared" si="103"/>
        <v>5</v>
      </c>
      <c r="CC79" s="2" t="str">
        <f t="shared" si="54"/>
        <v>153.9.28</v>
      </c>
      <c r="CD79" s="181">
        <f t="shared" si="95"/>
        <v>9</v>
      </c>
      <c r="CE79" s="2">
        <f t="shared" si="96"/>
        <v>28</v>
      </c>
      <c r="CF79" s="2" t="str">
        <f t="shared" si="104"/>
        <v>生日</v>
      </c>
      <c r="CG79" s="2" t="str">
        <f t="shared" si="105"/>
        <v>153.2.5</v>
      </c>
      <c r="CH79" s="2">
        <f t="shared" si="106"/>
        <v>2</v>
      </c>
      <c r="CI79" s="2" t="str">
        <f t="shared" si="107"/>
        <v>初任</v>
      </c>
      <c r="CJ79" s="2" t="str">
        <f t="shared" si="108"/>
        <v>153.9.28</v>
      </c>
      <c r="CK79" s="2">
        <f t="shared" si="109"/>
        <v>9</v>
      </c>
      <c r="CL79" s="2">
        <f t="shared" si="110"/>
        <v>0</v>
      </c>
      <c r="CM79" s="339">
        <f t="shared" si="62"/>
      </c>
      <c r="CN79" s="2">
        <f t="shared" si="63"/>
      </c>
      <c r="CO79" s="2">
        <f t="shared" si="64"/>
      </c>
      <c r="CP79" s="2">
        <f t="shared" si="65"/>
      </c>
      <c r="CQ79" s="2">
        <f t="shared" si="66"/>
      </c>
      <c r="CR79" s="2">
        <f t="shared" si="7"/>
      </c>
      <c r="CS79" s="128">
        <f t="shared" si="8"/>
      </c>
      <c r="CT79" s="2">
        <f t="shared" si="67"/>
      </c>
      <c r="CU79" s="2">
        <f t="shared" si="68"/>
      </c>
      <c r="CV79" s="128">
        <f t="shared" si="69"/>
      </c>
      <c r="CW79" s="2" t="str">
        <f t="shared" si="97"/>
        <v>153.1.1</v>
      </c>
      <c r="CX79" s="2">
        <f t="shared" si="70"/>
        <v>1</v>
      </c>
      <c r="CY79" s="128" t="str">
        <f t="shared" si="71"/>
        <v>153.2.1。【說明：原實際條件成就時間為153.1.1，惟因必須配合學期而延至當學期結束之次日，始能退休生效，爰推算為153.2.1】</v>
      </c>
      <c r="CZ79" s="2">
        <f t="shared" si="72"/>
      </c>
      <c r="DA79" s="2">
        <f t="shared" si="73"/>
      </c>
      <c r="DB79" s="128">
        <f t="shared" si="74"/>
      </c>
      <c r="DC79" s="2">
        <f t="shared" si="75"/>
      </c>
      <c r="DD79" s="2">
        <f t="shared" si="76"/>
      </c>
      <c r="DE79" s="128">
        <f t="shared" si="77"/>
      </c>
      <c r="DF79" s="2"/>
      <c r="DG79" s="2"/>
      <c r="DH79" s="128"/>
      <c r="DI79" s="2">
        <f t="shared" si="78"/>
      </c>
      <c r="DJ79" s="2">
        <f t="shared" si="79"/>
      </c>
      <c r="DK79" s="128">
        <f t="shared" si="80"/>
      </c>
      <c r="DL79" s="128"/>
      <c r="DM79" s="21" t="str">
        <f t="shared" si="81"/>
        <v>153.2.1。【說明：原實際條件成就時間為153.1.1，惟因必須配合學期而延至當學期結束之次日，始能退休生效，爰推算為153.2.1】</v>
      </c>
      <c r="DN79" s="2" t="str">
        <f t="shared" si="82"/>
        <v>153.1.1</v>
      </c>
      <c r="DO79" s="2"/>
      <c r="DP79" s="2"/>
      <c r="DQ79" s="2"/>
      <c r="DR79" s="2"/>
      <c r="DS79" s="2"/>
      <c r="DT79" s="2"/>
      <c r="DU79" s="2"/>
      <c r="DV79" s="10"/>
      <c r="DW79" s="2">
        <f t="shared" si="83"/>
        <v>153</v>
      </c>
      <c r="DX79" s="2" t="str">
        <f t="shared" si="84"/>
        <v>◆但@*%#...喔麥尬～上開生效日期已逾121年底的過渡期，仍否再適用指標數規定，恐有疑義！</v>
      </c>
      <c r="DY79" s="34"/>
      <c r="DZ79" s="7">
        <f t="shared" si="85"/>
        <v>1</v>
      </c>
      <c r="EA79" s="123">
        <f t="shared" si="86"/>
        <v>0</v>
      </c>
      <c r="EB79" s="211">
        <f t="shared" si="87"/>
      </c>
      <c r="EC79" s="210">
        <f t="shared" si="88"/>
      </c>
      <c r="ED79" s="210" t="e">
        <f t="shared" si="89"/>
        <v>#VALUE!</v>
      </c>
      <c r="EE79" s="34"/>
      <c r="EF79" s="34"/>
      <c r="EG79" s="34"/>
      <c r="EH79" s="34"/>
      <c r="EI79" s="34"/>
      <c r="EJ79" s="34"/>
      <c r="EK79" s="34"/>
      <c r="EL79" s="34"/>
      <c r="EM79" s="34"/>
      <c r="EN79" s="314"/>
      <c r="EO79" s="30"/>
      <c r="EP79" s="315"/>
      <c r="EQ79" s="315"/>
    </row>
    <row r="80" spans="1:147" s="29" customFormat="1" ht="15.75" customHeight="1" hidden="1" thickBot="1" thickTop="1">
      <c r="A80" s="143"/>
      <c r="B80" s="149">
        <f t="shared" si="98"/>
        <v>154</v>
      </c>
      <c r="C80" s="26">
        <f t="shared" si="94"/>
        <v>20651231</v>
      </c>
      <c r="D80" s="26" t="str">
        <f t="shared" si="10"/>
        <v>2065</v>
      </c>
      <c r="E80" s="26" t="str">
        <f t="shared" si="11"/>
        <v>12</v>
      </c>
      <c r="F80" s="26" t="str">
        <f t="shared" si="12"/>
        <v>31</v>
      </c>
      <c r="G80" s="300">
        <f t="shared" si="13"/>
        <v>60632</v>
      </c>
      <c r="H80" s="116">
        <f t="shared" si="0"/>
        <v>64</v>
      </c>
      <c r="I80" s="116">
        <f t="shared" si="14"/>
        <v>4</v>
      </c>
      <c r="J80" s="26">
        <f t="shared" si="111"/>
        <v>30</v>
      </c>
      <c r="K80" s="117">
        <f t="shared" si="15"/>
        <v>66</v>
      </c>
      <c r="L80" s="117">
        <f t="shared" si="16"/>
        <v>3</v>
      </c>
      <c r="M80" s="117">
        <f t="shared" si="17"/>
        <v>8</v>
      </c>
      <c r="N80" s="574" t="str">
        <f t="shared" si="99"/>
        <v>154.1.1~154.12.31</v>
      </c>
      <c r="O80" s="575"/>
      <c r="P80" s="575"/>
      <c r="Q80" s="576"/>
      <c r="R80" s="394">
        <v>60</v>
      </c>
      <c r="S80" s="391">
        <f t="shared" si="18"/>
        <v>96</v>
      </c>
      <c r="T80" s="392">
        <f t="shared" si="19"/>
        <v>66</v>
      </c>
      <c r="U80" s="393">
        <f t="shared" si="20"/>
        <v>162</v>
      </c>
      <c r="V80" s="148">
        <f t="shared" si="21"/>
      </c>
      <c r="W80" s="580">
        <f t="shared" si="120"/>
      </c>
      <c r="X80" s="581"/>
      <c r="Y80" s="581"/>
      <c r="Z80" s="582"/>
      <c r="AA80" s="249">
        <f t="shared" si="23"/>
      </c>
      <c r="AB80" s="248">
        <f t="shared" si="24"/>
      </c>
      <c r="AC80" s="330">
        <f t="shared" si="25"/>
      </c>
      <c r="AD80" s="102"/>
      <c r="AE80" s="118">
        <f t="shared" si="26"/>
        <v>0</v>
      </c>
      <c r="AF80" s="118">
        <f t="shared" si="27"/>
        <v>0</v>
      </c>
      <c r="AG80" s="118">
        <f t="shared" si="121"/>
        <v>1</v>
      </c>
      <c r="AH80" s="118">
        <f>IF(OR(AE80+AF80+AG80&gt;0,SUM($AE$30:AG79)&gt;0),1,0)</f>
        <v>1</v>
      </c>
      <c r="AI80" s="118">
        <f t="shared" si="29"/>
      </c>
      <c r="AJ80" s="118">
        <f t="shared" si="30"/>
      </c>
      <c r="AK80" s="118" t="str">
        <f t="shared" si="31"/>
        <v>符合「年齡滿65歲、年資滿15年」之擇領月退休金條件</v>
      </c>
      <c r="AL80" s="118" t="str">
        <f t="shared" si="112"/>
        <v>符合「年齡滿65歲、年資滿15年」之擇領月退休金條件</v>
      </c>
      <c r="AM80" s="119">
        <f t="shared" si="113"/>
        <v>0</v>
      </c>
      <c r="AN80" s="119">
        <f t="shared" si="114"/>
        <v>1</v>
      </c>
      <c r="AO80" s="119" t="str">
        <f t="shared" si="115"/>
        <v>符合</v>
      </c>
      <c r="AP80" s="119">
        <f t="shared" si="116"/>
        <v>96</v>
      </c>
      <c r="AQ80" s="119">
        <f t="shared" si="117"/>
        <v>20651231</v>
      </c>
      <c r="AR80" s="119" t="str">
        <f t="shared" si="118"/>
        <v>154.1.1~154.12.31</v>
      </c>
      <c r="AS80" s="120">
        <f t="shared" si="39"/>
      </c>
      <c r="AT80" s="121">
        <f t="shared" si="119"/>
      </c>
      <c r="AU80" s="121">
        <f t="shared" si="41"/>
        <v>1</v>
      </c>
      <c r="AV80" s="119">
        <f t="shared" si="42"/>
      </c>
      <c r="AW80" s="122">
        <f t="shared" si="43"/>
      </c>
      <c r="AX80" s="31">
        <f t="shared" si="44"/>
        <v>0</v>
      </c>
      <c r="AY80" s="7">
        <f t="shared" si="45"/>
        <v>1</v>
      </c>
      <c r="AZ80" s="123">
        <f t="shared" si="46"/>
        <v>1</v>
      </c>
      <c r="BA80" s="123">
        <f t="shared" si="47"/>
        <v>0</v>
      </c>
      <c r="BB80" s="123">
        <f t="shared" si="48"/>
      </c>
      <c r="BC80" s="33"/>
      <c r="BD80" s="33"/>
      <c r="BE80" s="33"/>
      <c r="BF80" s="33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4"/>
      <c r="BT80" s="34"/>
      <c r="BU80" s="34"/>
      <c r="BV80" s="34"/>
      <c r="BW80" s="179">
        <f t="shared" si="101"/>
        <v>23</v>
      </c>
      <c r="BX80" s="7">
        <f t="shared" si="102"/>
        <v>9</v>
      </c>
      <c r="BY80" s="20">
        <f t="shared" si="51"/>
        <v>154</v>
      </c>
      <c r="BZ80" s="2" t="str">
        <f t="shared" si="52"/>
        <v>154.2.5</v>
      </c>
      <c r="CA80" s="181">
        <f t="shared" si="53"/>
        <v>2</v>
      </c>
      <c r="CB80" s="2">
        <f t="shared" si="103"/>
        <v>5</v>
      </c>
      <c r="CC80" s="2" t="str">
        <f t="shared" si="54"/>
        <v>154.9.28</v>
      </c>
      <c r="CD80" s="181">
        <f t="shared" si="95"/>
        <v>9</v>
      </c>
      <c r="CE80" s="2">
        <f t="shared" si="96"/>
        <v>28</v>
      </c>
      <c r="CF80" s="2" t="str">
        <f t="shared" si="104"/>
        <v>生日</v>
      </c>
      <c r="CG80" s="2" t="str">
        <f t="shared" si="105"/>
        <v>154.2.5</v>
      </c>
      <c r="CH80" s="2">
        <f t="shared" si="106"/>
        <v>2</v>
      </c>
      <c r="CI80" s="2" t="str">
        <f t="shared" si="107"/>
        <v>初任</v>
      </c>
      <c r="CJ80" s="2" t="str">
        <f t="shared" si="108"/>
        <v>154.9.28</v>
      </c>
      <c r="CK80" s="2">
        <f t="shared" si="109"/>
        <v>9</v>
      </c>
      <c r="CL80" s="2">
        <f t="shared" si="110"/>
        <v>0</v>
      </c>
      <c r="CM80" s="339">
        <f t="shared" si="62"/>
      </c>
      <c r="CN80" s="2">
        <f t="shared" si="63"/>
      </c>
      <c r="CO80" s="2">
        <f t="shared" si="64"/>
      </c>
      <c r="CP80" s="2">
        <f t="shared" si="65"/>
      </c>
      <c r="CQ80" s="2">
        <f t="shared" si="66"/>
      </c>
      <c r="CR80" s="2">
        <f t="shared" si="7"/>
      </c>
      <c r="CS80" s="128">
        <f t="shared" si="8"/>
      </c>
      <c r="CT80" s="2">
        <f t="shared" si="67"/>
      </c>
      <c r="CU80" s="2">
        <f t="shared" si="68"/>
      </c>
      <c r="CV80" s="128">
        <f t="shared" si="69"/>
      </c>
      <c r="CW80" s="2" t="str">
        <f t="shared" si="97"/>
        <v>154.1.1</v>
      </c>
      <c r="CX80" s="2">
        <f t="shared" si="70"/>
        <v>1</v>
      </c>
      <c r="CY80" s="128" t="str">
        <f t="shared" si="71"/>
        <v>154.2.1。【說明：原實際條件成就時間為154.1.1，惟因必須配合學期而延至當學期結束之次日，始能退休生效，爰推算為154.2.1】</v>
      </c>
      <c r="CZ80" s="2">
        <f t="shared" si="72"/>
      </c>
      <c r="DA80" s="2">
        <f t="shared" si="73"/>
      </c>
      <c r="DB80" s="128">
        <f t="shared" si="74"/>
      </c>
      <c r="DC80" s="2">
        <f t="shared" si="75"/>
      </c>
      <c r="DD80" s="2">
        <f t="shared" si="76"/>
      </c>
      <c r="DE80" s="128">
        <f t="shared" si="77"/>
      </c>
      <c r="DF80" s="2"/>
      <c r="DG80" s="2"/>
      <c r="DH80" s="128"/>
      <c r="DI80" s="2">
        <f t="shared" si="78"/>
      </c>
      <c r="DJ80" s="2">
        <f t="shared" si="79"/>
      </c>
      <c r="DK80" s="128">
        <f t="shared" si="80"/>
      </c>
      <c r="DL80" s="128"/>
      <c r="DM80" s="21" t="str">
        <f t="shared" si="81"/>
        <v>154.2.1。【說明：原實際條件成就時間為154.1.1，惟因必須配合學期而延至當學期結束之次日，始能退休生效，爰推算為154.2.1】</v>
      </c>
      <c r="DN80" s="2" t="str">
        <f t="shared" si="82"/>
        <v>154.1.1</v>
      </c>
      <c r="DO80" s="2"/>
      <c r="DP80" s="2"/>
      <c r="DQ80" s="2"/>
      <c r="DR80" s="2"/>
      <c r="DS80" s="2"/>
      <c r="DT80" s="2"/>
      <c r="DU80" s="2"/>
      <c r="DV80" s="10"/>
      <c r="DW80" s="2">
        <f t="shared" si="83"/>
        <v>154</v>
      </c>
      <c r="DX80" s="2" t="str">
        <f t="shared" si="84"/>
        <v>◆但@*%#...喔麥尬～上開生效日期已逾121年底的過渡期，仍否再適用指標數規定，恐有疑義！</v>
      </c>
      <c r="DY80" s="34"/>
      <c r="DZ80" s="7">
        <f t="shared" si="85"/>
        <v>1</v>
      </c>
      <c r="EA80" s="123">
        <f t="shared" si="86"/>
        <v>0</v>
      </c>
      <c r="EB80" s="211">
        <f t="shared" si="87"/>
      </c>
      <c r="EC80" s="210">
        <f t="shared" si="88"/>
      </c>
      <c r="ED80" s="210" t="e">
        <f t="shared" si="89"/>
        <v>#VALUE!</v>
      </c>
      <c r="EE80" s="34"/>
      <c r="EF80" s="34"/>
      <c r="EG80" s="34"/>
      <c r="EH80" s="34"/>
      <c r="EI80" s="34"/>
      <c r="EJ80" s="34"/>
      <c r="EK80" s="34"/>
      <c r="EL80" s="34"/>
      <c r="EM80" s="34"/>
      <c r="EN80" s="314"/>
      <c r="EO80" s="30"/>
      <c r="EP80" s="315"/>
      <c r="EQ80" s="315"/>
    </row>
    <row r="81" spans="1:147" s="29" customFormat="1" ht="15.75" customHeight="1" hidden="1" thickBot="1" thickTop="1">
      <c r="A81" s="143"/>
      <c r="B81" s="149">
        <f t="shared" si="98"/>
        <v>155</v>
      </c>
      <c r="C81" s="26">
        <f t="shared" si="94"/>
        <v>20661231</v>
      </c>
      <c r="D81" s="26" t="str">
        <f t="shared" si="10"/>
        <v>2066</v>
      </c>
      <c r="E81" s="26" t="str">
        <f t="shared" si="11"/>
        <v>12</v>
      </c>
      <c r="F81" s="26" t="str">
        <f t="shared" si="12"/>
        <v>31</v>
      </c>
      <c r="G81" s="300">
        <f t="shared" si="13"/>
        <v>60997</v>
      </c>
      <c r="H81" s="116">
        <f t="shared" si="0"/>
        <v>65</v>
      </c>
      <c r="I81" s="116">
        <f t="shared" si="14"/>
        <v>4</v>
      </c>
      <c r="J81" s="26">
        <f t="shared" si="111"/>
        <v>30</v>
      </c>
      <c r="K81" s="117">
        <f t="shared" si="15"/>
        <v>67</v>
      </c>
      <c r="L81" s="117">
        <f t="shared" si="16"/>
        <v>3</v>
      </c>
      <c r="M81" s="117">
        <f t="shared" si="17"/>
        <v>8</v>
      </c>
      <c r="N81" s="574" t="str">
        <f t="shared" si="99"/>
        <v>155.1.1~155.12.31</v>
      </c>
      <c r="O81" s="575"/>
      <c r="P81" s="575"/>
      <c r="Q81" s="576"/>
      <c r="R81" s="394">
        <v>60</v>
      </c>
      <c r="S81" s="391">
        <f t="shared" si="18"/>
        <v>97</v>
      </c>
      <c r="T81" s="392">
        <f t="shared" si="19"/>
        <v>67</v>
      </c>
      <c r="U81" s="393">
        <f t="shared" si="20"/>
        <v>164</v>
      </c>
      <c r="V81" s="148">
        <f t="shared" si="21"/>
      </c>
      <c r="W81" s="580">
        <f t="shared" si="120"/>
      </c>
      <c r="X81" s="581"/>
      <c r="Y81" s="581"/>
      <c r="Z81" s="582"/>
      <c r="AA81" s="249">
        <f t="shared" si="23"/>
      </c>
      <c r="AB81" s="248">
        <f t="shared" si="24"/>
      </c>
      <c r="AC81" s="330">
        <f t="shared" si="25"/>
      </c>
      <c r="AD81" s="102"/>
      <c r="AE81" s="118">
        <f t="shared" si="26"/>
        <v>0</v>
      </c>
      <c r="AF81" s="118">
        <f t="shared" si="27"/>
        <v>0</v>
      </c>
      <c r="AG81" s="118">
        <f t="shared" si="121"/>
        <v>1</v>
      </c>
      <c r="AH81" s="118">
        <f>IF(OR(AE81+AF81+AG81&gt;0,SUM($AE$30:AG80)&gt;0),1,0)</f>
        <v>1</v>
      </c>
      <c r="AI81" s="118">
        <f t="shared" si="29"/>
      </c>
      <c r="AJ81" s="118">
        <f t="shared" si="30"/>
      </c>
      <c r="AK81" s="118" t="str">
        <f t="shared" si="31"/>
        <v>符合「年齡滿65歲、年資滿15年」之擇領月退休金條件</v>
      </c>
      <c r="AL81" s="118" t="str">
        <f t="shared" si="112"/>
        <v>符合「年齡滿65歲、年資滿15年」之擇領月退休金條件</v>
      </c>
      <c r="AM81" s="119">
        <f t="shared" si="113"/>
        <v>0</v>
      </c>
      <c r="AN81" s="119">
        <f t="shared" si="114"/>
        <v>1</v>
      </c>
      <c r="AO81" s="119" t="str">
        <f t="shared" si="115"/>
        <v>符合</v>
      </c>
      <c r="AP81" s="119">
        <f t="shared" si="116"/>
        <v>97</v>
      </c>
      <c r="AQ81" s="119">
        <f t="shared" si="117"/>
        <v>20661231</v>
      </c>
      <c r="AR81" s="119" t="str">
        <f t="shared" si="118"/>
        <v>155.1.1~155.12.31</v>
      </c>
      <c r="AS81" s="120">
        <f t="shared" si="39"/>
      </c>
      <c r="AT81" s="121">
        <f t="shared" si="119"/>
      </c>
      <c r="AU81" s="121">
        <f t="shared" si="41"/>
        <v>1</v>
      </c>
      <c r="AV81" s="119">
        <f t="shared" si="42"/>
      </c>
      <c r="AW81" s="122">
        <f t="shared" si="43"/>
      </c>
      <c r="AX81" s="31">
        <f t="shared" si="44"/>
        <v>0</v>
      </c>
      <c r="AY81" s="7">
        <f t="shared" si="45"/>
        <v>1</v>
      </c>
      <c r="AZ81" s="123">
        <f t="shared" si="46"/>
        <v>1</v>
      </c>
      <c r="BA81" s="123">
        <f t="shared" si="47"/>
        <v>0</v>
      </c>
      <c r="BB81" s="123">
        <f t="shared" si="48"/>
      </c>
      <c r="BC81" s="33"/>
      <c r="BD81" s="33"/>
      <c r="BE81" s="33"/>
      <c r="BF81" s="33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4"/>
      <c r="BT81" s="34"/>
      <c r="BU81" s="34"/>
      <c r="BV81" s="34"/>
      <c r="BW81" s="179">
        <f t="shared" si="101"/>
        <v>23</v>
      </c>
      <c r="BX81" s="7">
        <f t="shared" si="102"/>
        <v>9</v>
      </c>
      <c r="BY81" s="20">
        <f t="shared" si="51"/>
        <v>155</v>
      </c>
      <c r="BZ81" s="2" t="str">
        <f t="shared" si="52"/>
        <v>155.2.5</v>
      </c>
      <c r="CA81" s="181">
        <f t="shared" si="53"/>
        <v>2</v>
      </c>
      <c r="CB81" s="2">
        <f t="shared" si="103"/>
        <v>5</v>
      </c>
      <c r="CC81" s="2" t="str">
        <f t="shared" si="54"/>
        <v>155.9.28</v>
      </c>
      <c r="CD81" s="181">
        <f t="shared" si="95"/>
        <v>9</v>
      </c>
      <c r="CE81" s="2">
        <f t="shared" si="96"/>
        <v>28</v>
      </c>
      <c r="CF81" s="2" t="str">
        <f t="shared" si="104"/>
        <v>生日</v>
      </c>
      <c r="CG81" s="2" t="str">
        <f t="shared" si="105"/>
        <v>155.2.5</v>
      </c>
      <c r="CH81" s="2">
        <f t="shared" si="106"/>
        <v>2</v>
      </c>
      <c r="CI81" s="2" t="str">
        <f t="shared" si="107"/>
        <v>初任</v>
      </c>
      <c r="CJ81" s="2" t="str">
        <f t="shared" si="108"/>
        <v>155.9.28</v>
      </c>
      <c r="CK81" s="2">
        <f t="shared" si="109"/>
        <v>9</v>
      </c>
      <c r="CL81" s="2">
        <f t="shared" si="110"/>
        <v>0</v>
      </c>
      <c r="CM81" s="339">
        <f t="shared" si="62"/>
      </c>
      <c r="CN81" s="2">
        <f t="shared" si="63"/>
      </c>
      <c r="CO81" s="2">
        <f t="shared" si="64"/>
      </c>
      <c r="CP81" s="2">
        <f t="shared" si="65"/>
      </c>
      <c r="CQ81" s="2">
        <f t="shared" si="66"/>
      </c>
      <c r="CR81" s="2">
        <f t="shared" si="7"/>
      </c>
      <c r="CS81" s="128">
        <f t="shared" si="8"/>
      </c>
      <c r="CT81" s="2">
        <f t="shared" si="67"/>
      </c>
      <c r="CU81" s="2">
        <f t="shared" si="68"/>
      </c>
      <c r="CV81" s="128">
        <f t="shared" si="69"/>
      </c>
      <c r="CW81" s="2" t="str">
        <f t="shared" si="97"/>
        <v>155.1.1</v>
      </c>
      <c r="CX81" s="2">
        <f t="shared" si="70"/>
        <v>1</v>
      </c>
      <c r="CY81" s="128" t="str">
        <f t="shared" si="71"/>
        <v>155.2.1。【說明：原實際條件成就時間為155.1.1，惟因必須配合學期而延至當學期結束之次日，始能退休生效，爰推算為155.2.1】</v>
      </c>
      <c r="CZ81" s="2">
        <f t="shared" si="72"/>
      </c>
      <c r="DA81" s="2">
        <f t="shared" si="73"/>
      </c>
      <c r="DB81" s="128">
        <f t="shared" si="74"/>
      </c>
      <c r="DC81" s="2">
        <f t="shared" si="75"/>
      </c>
      <c r="DD81" s="2">
        <f t="shared" si="76"/>
      </c>
      <c r="DE81" s="128">
        <f t="shared" si="77"/>
      </c>
      <c r="DF81" s="2"/>
      <c r="DG81" s="2"/>
      <c r="DH81" s="128"/>
      <c r="DI81" s="2">
        <f t="shared" si="78"/>
      </c>
      <c r="DJ81" s="2">
        <f t="shared" si="79"/>
      </c>
      <c r="DK81" s="128">
        <f t="shared" si="80"/>
      </c>
      <c r="DL81" s="128"/>
      <c r="DM81" s="21" t="str">
        <f t="shared" si="81"/>
        <v>155.2.1。【說明：原實際條件成就時間為155.1.1，惟因必須配合學期而延至當學期結束之次日，始能退休生效，爰推算為155.2.1】</v>
      </c>
      <c r="DN81" s="2" t="str">
        <f t="shared" si="82"/>
        <v>155.1.1</v>
      </c>
      <c r="DO81" s="2"/>
      <c r="DP81" s="2"/>
      <c r="DQ81" s="2"/>
      <c r="DR81" s="2"/>
      <c r="DS81" s="2"/>
      <c r="DT81" s="2"/>
      <c r="DU81" s="2"/>
      <c r="DV81" s="10"/>
      <c r="DW81" s="2">
        <f t="shared" si="83"/>
        <v>155</v>
      </c>
      <c r="DX81" s="2" t="str">
        <f t="shared" si="84"/>
        <v>◆但@*%#...喔麥尬～上開生效日期已逾121年底的過渡期，仍否再適用指標數規定，恐有疑義！</v>
      </c>
      <c r="DY81" s="34"/>
      <c r="DZ81" s="7">
        <f t="shared" si="85"/>
        <v>1</v>
      </c>
      <c r="EA81" s="123">
        <f t="shared" si="86"/>
        <v>0</v>
      </c>
      <c r="EB81" s="211">
        <f t="shared" si="87"/>
      </c>
      <c r="EC81" s="210">
        <f t="shared" si="88"/>
      </c>
      <c r="ED81" s="210" t="e">
        <f t="shared" si="89"/>
        <v>#VALUE!</v>
      </c>
      <c r="EE81" s="34"/>
      <c r="EF81" s="34"/>
      <c r="EG81" s="34"/>
      <c r="EH81" s="34"/>
      <c r="EI81" s="34"/>
      <c r="EJ81" s="34"/>
      <c r="EK81" s="34"/>
      <c r="EL81" s="34"/>
      <c r="EM81" s="34"/>
      <c r="EN81" s="314"/>
      <c r="EO81" s="30"/>
      <c r="EP81" s="315"/>
      <c r="EQ81" s="315"/>
    </row>
    <row r="82" spans="1:147" s="29" customFormat="1" ht="15.75" customHeight="1" hidden="1" thickBot="1" thickTop="1">
      <c r="A82" s="143"/>
      <c r="B82" s="149">
        <f t="shared" si="98"/>
        <v>156</v>
      </c>
      <c r="C82" s="26">
        <f t="shared" si="94"/>
        <v>20671231</v>
      </c>
      <c r="D82" s="26" t="str">
        <f t="shared" si="10"/>
        <v>2067</v>
      </c>
      <c r="E82" s="26" t="str">
        <f t="shared" si="11"/>
        <v>12</v>
      </c>
      <c r="F82" s="26" t="str">
        <f t="shared" si="12"/>
        <v>31</v>
      </c>
      <c r="G82" s="300">
        <f t="shared" si="13"/>
        <v>61362</v>
      </c>
      <c r="H82" s="116">
        <f t="shared" si="0"/>
        <v>66</v>
      </c>
      <c r="I82" s="116">
        <f t="shared" si="14"/>
        <v>4</v>
      </c>
      <c r="J82" s="26">
        <f t="shared" si="111"/>
        <v>30</v>
      </c>
      <c r="K82" s="117">
        <f t="shared" si="15"/>
        <v>68</v>
      </c>
      <c r="L82" s="117">
        <f t="shared" si="16"/>
        <v>3</v>
      </c>
      <c r="M82" s="117">
        <f t="shared" si="17"/>
        <v>8</v>
      </c>
      <c r="N82" s="574" t="str">
        <f t="shared" si="99"/>
        <v>156.1.1~156.12.31</v>
      </c>
      <c r="O82" s="575"/>
      <c r="P82" s="575"/>
      <c r="Q82" s="576"/>
      <c r="R82" s="394">
        <v>60</v>
      </c>
      <c r="S82" s="391">
        <f t="shared" si="18"/>
        <v>98</v>
      </c>
      <c r="T82" s="392">
        <f t="shared" si="19"/>
        <v>68</v>
      </c>
      <c r="U82" s="393">
        <f t="shared" si="20"/>
        <v>166</v>
      </c>
      <c r="V82" s="148">
        <f t="shared" si="21"/>
      </c>
      <c r="W82" s="580">
        <f t="shared" si="120"/>
      </c>
      <c r="X82" s="581"/>
      <c r="Y82" s="581"/>
      <c r="Z82" s="582"/>
      <c r="AA82" s="249">
        <f t="shared" si="23"/>
      </c>
      <c r="AB82" s="248">
        <f t="shared" si="24"/>
      </c>
      <c r="AC82" s="330">
        <f t="shared" si="25"/>
      </c>
      <c r="AD82" s="102"/>
      <c r="AE82" s="118">
        <f t="shared" si="26"/>
        <v>0</v>
      </c>
      <c r="AF82" s="118">
        <f t="shared" si="27"/>
        <v>0</v>
      </c>
      <c r="AG82" s="118">
        <f t="shared" si="121"/>
        <v>1</v>
      </c>
      <c r="AH82" s="118">
        <f>IF(OR(AE82+AF82+AG82&gt;0,SUM($AE$30:AG81)&gt;0),1,0)</f>
        <v>1</v>
      </c>
      <c r="AI82" s="118">
        <f t="shared" si="29"/>
      </c>
      <c r="AJ82" s="118">
        <f t="shared" si="30"/>
      </c>
      <c r="AK82" s="118" t="str">
        <f t="shared" si="31"/>
        <v>符合「年齡滿65歲、年資滿15年」之擇領月退休金條件</v>
      </c>
      <c r="AL82" s="118" t="str">
        <f t="shared" si="112"/>
        <v>符合「年齡滿65歲、年資滿15年」之擇領月退休金條件</v>
      </c>
      <c r="AM82" s="119">
        <f t="shared" si="113"/>
        <v>0</v>
      </c>
      <c r="AN82" s="119">
        <f t="shared" si="114"/>
        <v>1</v>
      </c>
      <c r="AO82" s="119" t="str">
        <f t="shared" si="115"/>
        <v>符合</v>
      </c>
      <c r="AP82" s="119">
        <f t="shared" si="116"/>
        <v>98</v>
      </c>
      <c r="AQ82" s="119">
        <f t="shared" si="117"/>
        <v>20671231</v>
      </c>
      <c r="AR82" s="119" t="str">
        <f t="shared" si="118"/>
        <v>156.1.1~156.12.31</v>
      </c>
      <c r="AS82" s="120">
        <f t="shared" si="39"/>
      </c>
      <c r="AT82" s="121">
        <f t="shared" si="119"/>
      </c>
      <c r="AU82" s="121">
        <f t="shared" si="41"/>
        <v>1</v>
      </c>
      <c r="AV82" s="119">
        <f t="shared" si="42"/>
      </c>
      <c r="AW82" s="122">
        <f t="shared" si="43"/>
      </c>
      <c r="AX82" s="31">
        <f t="shared" si="44"/>
        <v>0</v>
      </c>
      <c r="AY82" s="7">
        <f t="shared" si="45"/>
        <v>1</v>
      </c>
      <c r="AZ82" s="123">
        <f t="shared" si="46"/>
        <v>1</v>
      </c>
      <c r="BA82" s="123">
        <f t="shared" si="47"/>
        <v>0</v>
      </c>
      <c r="BB82" s="123">
        <f t="shared" si="48"/>
      </c>
      <c r="BC82" s="33"/>
      <c r="BD82" s="33"/>
      <c r="BE82" s="33"/>
      <c r="BF82" s="33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4"/>
      <c r="BT82" s="34"/>
      <c r="BU82" s="34"/>
      <c r="BV82" s="34"/>
      <c r="BW82" s="179">
        <f t="shared" si="101"/>
        <v>23</v>
      </c>
      <c r="BX82" s="7">
        <f t="shared" si="102"/>
        <v>9</v>
      </c>
      <c r="BY82" s="20">
        <f t="shared" si="51"/>
        <v>156</v>
      </c>
      <c r="BZ82" s="2" t="str">
        <f t="shared" si="52"/>
        <v>156.2.5</v>
      </c>
      <c r="CA82" s="181">
        <f t="shared" si="53"/>
        <v>2</v>
      </c>
      <c r="CB82" s="2">
        <f t="shared" si="103"/>
        <v>5</v>
      </c>
      <c r="CC82" s="2" t="str">
        <f t="shared" si="54"/>
        <v>156.9.28</v>
      </c>
      <c r="CD82" s="181">
        <f t="shared" si="95"/>
        <v>9</v>
      </c>
      <c r="CE82" s="2">
        <f t="shared" si="96"/>
        <v>28</v>
      </c>
      <c r="CF82" s="2" t="str">
        <f t="shared" si="104"/>
        <v>生日</v>
      </c>
      <c r="CG82" s="2" t="str">
        <f t="shared" si="105"/>
        <v>156.2.5</v>
      </c>
      <c r="CH82" s="2">
        <f t="shared" si="106"/>
        <v>2</v>
      </c>
      <c r="CI82" s="2" t="str">
        <f t="shared" si="107"/>
        <v>初任</v>
      </c>
      <c r="CJ82" s="2" t="str">
        <f t="shared" si="108"/>
        <v>156.9.28</v>
      </c>
      <c r="CK82" s="2">
        <f t="shared" si="109"/>
        <v>9</v>
      </c>
      <c r="CL82" s="2">
        <f t="shared" si="110"/>
        <v>0</v>
      </c>
      <c r="CM82" s="339">
        <f t="shared" si="62"/>
      </c>
      <c r="CN82" s="2">
        <f t="shared" si="63"/>
      </c>
      <c r="CO82" s="2">
        <f t="shared" si="64"/>
      </c>
      <c r="CP82" s="2">
        <f t="shared" si="65"/>
      </c>
      <c r="CQ82" s="2">
        <f t="shared" si="66"/>
      </c>
      <c r="CR82" s="2">
        <f t="shared" si="7"/>
      </c>
      <c r="CS82" s="128">
        <f t="shared" si="8"/>
      </c>
      <c r="CT82" s="2">
        <f t="shared" si="67"/>
      </c>
      <c r="CU82" s="2">
        <f t="shared" si="68"/>
      </c>
      <c r="CV82" s="128">
        <f t="shared" si="69"/>
      </c>
      <c r="CW82" s="2" t="str">
        <f t="shared" si="97"/>
        <v>156.1.1</v>
      </c>
      <c r="CX82" s="2">
        <f t="shared" si="70"/>
        <v>1</v>
      </c>
      <c r="CY82" s="128" t="str">
        <f t="shared" si="71"/>
        <v>156.2.1。【說明：原實際條件成就時間為156.1.1，惟因必須配合學期而延至當學期結束之次日，始能退休生效，爰推算為156.2.1】</v>
      </c>
      <c r="CZ82" s="2">
        <f t="shared" si="72"/>
      </c>
      <c r="DA82" s="2">
        <f t="shared" si="73"/>
      </c>
      <c r="DB82" s="128">
        <f t="shared" si="74"/>
      </c>
      <c r="DC82" s="2">
        <f t="shared" si="75"/>
      </c>
      <c r="DD82" s="2">
        <f t="shared" si="76"/>
      </c>
      <c r="DE82" s="128">
        <f t="shared" si="77"/>
      </c>
      <c r="DF82" s="2"/>
      <c r="DG82" s="2"/>
      <c r="DH82" s="128"/>
      <c r="DI82" s="2">
        <f t="shared" si="78"/>
      </c>
      <c r="DJ82" s="2">
        <f t="shared" si="79"/>
      </c>
      <c r="DK82" s="128">
        <f t="shared" si="80"/>
      </c>
      <c r="DL82" s="128"/>
      <c r="DM82" s="21" t="str">
        <f t="shared" si="81"/>
        <v>156.2.1。【說明：原實際條件成就時間為156.1.1，惟因必須配合學期而延至當學期結束之次日，始能退休生效，爰推算為156.2.1】</v>
      </c>
      <c r="DN82" s="2" t="str">
        <f t="shared" si="82"/>
        <v>156.1.1</v>
      </c>
      <c r="DO82" s="2"/>
      <c r="DP82" s="2"/>
      <c r="DQ82" s="2"/>
      <c r="DR82" s="2"/>
      <c r="DS82" s="2"/>
      <c r="DT82" s="2"/>
      <c r="DU82" s="2"/>
      <c r="DV82" s="10"/>
      <c r="DW82" s="2">
        <f t="shared" si="83"/>
        <v>156</v>
      </c>
      <c r="DX82" s="2" t="str">
        <f t="shared" si="84"/>
        <v>◆但@*%#...喔麥尬～上開生效日期已逾121年底的過渡期，仍否再適用指標數規定，恐有疑義！</v>
      </c>
      <c r="DY82" s="34"/>
      <c r="DZ82" s="7">
        <f t="shared" si="85"/>
        <v>1</v>
      </c>
      <c r="EA82" s="123">
        <f t="shared" si="86"/>
        <v>0</v>
      </c>
      <c r="EB82" s="211">
        <f t="shared" si="87"/>
      </c>
      <c r="EC82" s="210">
        <f t="shared" si="88"/>
      </c>
      <c r="ED82" s="210" t="e">
        <f t="shared" si="89"/>
        <v>#VALUE!</v>
      </c>
      <c r="EE82" s="34"/>
      <c r="EF82" s="34"/>
      <c r="EG82" s="34"/>
      <c r="EH82" s="34"/>
      <c r="EI82" s="34"/>
      <c r="EJ82" s="34"/>
      <c r="EK82" s="34"/>
      <c r="EL82" s="34"/>
      <c r="EM82" s="34"/>
      <c r="EN82" s="314"/>
      <c r="EO82" s="30"/>
      <c r="EP82" s="315"/>
      <c r="EQ82" s="315"/>
    </row>
    <row r="83" spans="1:147" s="29" customFormat="1" ht="15.75" customHeight="1" hidden="1" thickBot="1" thickTop="1">
      <c r="A83" s="143"/>
      <c r="B83" s="149">
        <f t="shared" si="98"/>
        <v>157</v>
      </c>
      <c r="C83" s="26">
        <f t="shared" si="94"/>
        <v>20681231</v>
      </c>
      <c r="D83" s="26" t="str">
        <f t="shared" si="10"/>
        <v>2068</v>
      </c>
      <c r="E83" s="26" t="str">
        <f t="shared" si="11"/>
        <v>12</v>
      </c>
      <c r="F83" s="26" t="str">
        <f t="shared" si="12"/>
        <v>31</v>
      </c>
      <c r="G83" s="300">
        <f t="shared" si="13"/>
        <v>61728</v>
      </c>
      <c r="H83" s="116">
        <f t="shared" si="0"/>
        <v>67</v>
      </c>
      <c r="I83" s="116">
        <f t="shared" si="14"/>
        <v>4</v>
      </c>
      <c r="J83" s="26">
        <f t="shared" si="111"/>
        <v>30</v>
      </c>
      <c r="K83" s="117">
        <f t="shared" si="15"/>
        <v>69</v>
      </c>
      <c r="L83" s="117">
        <f t="shared" si="16"/>
        <v>3</v>
      </c>
      <c r="M83" s="117">
        <f t="shared" si="17"/>
        <v>8</v>
      </c>
      <c r="N83" s="574" t="str">
        <f t="shared" si="99"/>
        <v>157.1.1~157.12.31</v>
      </c>
      <c r="O83" s="575"/>
      <c r="P83" s="575"/>
      <c r="Q83" s="576"/>
      <c r="R83" s="394">
        <v>60</v>
      </c>
      <c r="S83" s="391">
        <f t="shared" si="18"/>
        <v>99</v>
      </c>
      <c r="T83" s="392">
        <f t="shared" si="19"/>
        <v>69</v>
      </c>
      <c r="U83" s="393">
        <f t="shared" si="20"/>
        <v>168</v>
      </c>
      <c r="V83" s="148">
        <f t="shared" si="21"/>
      </c>
      <c r="W83" s="580">
        <f t="shared" si="120"/>
      </c>
      <c r="X83" s="581"/>
      <c r="Y83" s="581"/>
      <c r="Z83" s="582"/>
      <c r="AA83" s="249">
        <f t="shared" si="23"/>
      </c>
      <c r="AB83" s="248">
        <f t="shared" si="24"/>
      </c>
      <c r="AC83" s="330">
        <f t="shared" si="25"/>
      </c>
      <c r="AD83" s="102"/>
      <c r="AE83" s="118">
        <f t="shared" si="26"/>
        <v>0</v>
      </c>
      <c r="AF83" s="118">
        <f t="shared" si="27"/>
        <v>0</v>
      </c>
      <c r="AG83" s="118">
        <f t="shared" si="121"/>
        <v>1</v>
      </c>
      <c r="AH83" s="118">
        <f>IF(OR(AE83+AF83+AG83&gt;0,SUM($AE$30:AG82)&gt;0),1,0)</f>
        <v>1</v>
      </c>
      <c r="AI83" s="118">
        <f t="shared" si="29"/>
      </c>
      <c r="AJ83" s="118">
        <f t="shared" si="30"/>
      </c>
      <c r="AK83" s="118" t="str">
        <f t="shared" si="31"/>
        <v>符合「年齡滿65歲、年資滿15年」之擇領月退休金條件</v>
      </c>
      <c r="AL83" s="118" t="str">
        <f t="shared" si="112"/>
        <v>符合「年齡滿65歲、年資滿15年」之擇領月退休金條件</v>
      </c>
      <c r="AM83" s="119">
        <f t="shared" si="113"/>
        <v>0</v>
      </c>
      <c r="AN83" s="119">
        <f t="shared" si="114"/>
        <v>1</v>
      </c>
      <c r="AO83" s="119" t="str">
        <f t="shared" si="115"/>
        <v>符合</v>
      </c>
      <c r="AP83" s="119">
        <f t="shared" si="116"/>
        <v>99</v>
      </c>
      <c r="AQ83" s="119">
        <f t="shared" si="117"/>
        <v>20681231</v>
      </c>
      <c r="AR83" s="119" t="str">
        <f t="shared" si="118"/>
        <v>157.1.1~157.12.31</v>
      </c>
      <c r="AS83" s="120">
        <f t="shared" si="39"/>
      </c>
      <c r="AT83" s="121">
        <f t="shared" si="119"/>
      </c>
      <c r="AU83" s="121">
        <f t="shared" si="41"/>
        <v>1</v>
      </c>
      <c r="AV83" s="119">
        <f t="shared" si="42"/>
      </c>
      <c r="AW83" s="122">
        <f t="shared" si="43"/>
      </c>
      <c r="AX83" s="31">
        <f t="shared" si="44"/>
        <v>0</v>
      </c>
      <c r="AY83" s="7">
        <f t="shared" si="45"/>
        <v>1</v>
      </c>
      <c r="AZ83" s="123">
        <f t="shared" si="46"/>
        <v>1</v>
      </c>
      <c r="BA83" s="123">
        <f t="shared" si="47"/>
        <v>0</v>
      </c>
      <c r="BB83" s="123">
        <f t="shared" si="48"/>
      </c>
      <c r="BC83" s="33"/>
      <c r="BD83" s="33"/>
      <c r="BE83" s="33"/>
      <c r="BF83" s="33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4"/>
      <c r="BT83" s="34"/>
      <c r="BU83" s="34"/>
      <c r="BV83" s="34"/>
      <c r="BW83" s="179">
        <f t="shared" si="101"/>
        <v>23</v>
      </c>
      <c r="BX83" s="7">
        <f t="shared" si="102"/>
        <v>9</v>
      </c>
      <c r="BY83" s="20">
        <f t="shared" si="51"/>
        <v>157</v>
      </c>
      <c r="BZ83" s="2" t="str">
        <f t="shared" si="52"/>
        <v>157.2.5</v>
      </c>
      <c r="CA83" s="181">
        <f t="shared" si="53"/>
        <v>2</v>
      </c>
      <c r="CB83" s="2">
        <f t="shared" si="103"/>
        <v>5</v>
      </c>
      <c r="CC83" s="2" t="str">
        <f t="shared" si="54"/>
        <v>157.9.28</v>
      </c>
      <c r="CD83" s="181">
        <f t="shared" si="95"/>
        <v>9</v>
      </c>
      <c r="CE83" s="2">
        <f t="shared" si="96"/>
        <v>28</v>
      </c>
      <c r="CF83" s="2" t="str">
        <f t="shared" si="104"/>
        <v>生日</v>
      </c>
      <c r="CG83" s="2" t="str">
        <f t="shared" si="105"/>
        <v>157.2.5</v>
      </c>
      <c r="CH83" s="2">
        <f t="shared" si="106"/>
        <v>2</v>
      </c>
      <c r="CI83" s="2" t="str">
        <f t="shared" si="107"/>
        <v>初任</v>
      </c>
      <c r="CJ83" s="2" t="str">
        <f t="shared" si="108"/>
        <v>157.9.28</v>
      </c>
      <c r="CK83" s="2">
        <f t="shared" si="109"/>
        <v>9</v>
      </c>
      <c r="CL83" s="2">
        <f t="shared" si="110"/>
        <v>0</v>
      </c>
      <c r="CM83" s="339">
        <f t="shared" si="62"/>
      </c>
      <c r="CN83" s="2">
        <f t="shared" si="63"/>
      </c>
      <c r="CO83" s="2">
        <f t="shared" si="64"/>
      </c>
      <c r="CP83" s="2">
        <f t="shared" si="65"/>
      </c>
      <c r="CQ83" s="2">
        <f t="shared" si="66"/>
      </c>
      <c r="CR83" s="2">
        <f t="shared" si="7"/>
      </c>
      <c r="CS83" s="128">
        <f t="shared" si="8"/>
      </c>
      <c r="CT83" s="2">
        <f t="shared" si="67"/>
      </c>
      <c r="CU83" s="2">
        <f t="shared" si="68"/>
      </c>
      <c r="CV83" s="128">
        <f t="shared" si="69"/>
      </c>
      <c r="CW83" s="2" t="str">
        <f t="shared" si="97"/>
        <v>157.1.1</v>
      </c>
      <c r="CX83" s="2">
        <f t="shared" si="70"/>
        <v>1</v>
      </c>
      <c r="CY83" s="128" t="str">
        <f t="shared" si="71"/>
        <v>157.2.1。【說明：原實際條件成就時間為157.1.1，惟因必須配合學期而延至當學期結束之次日，始能退休生效，爰推算為157.2.1】</v>
      </c>
      <c r="CZ83" s="2">
        <f t="shared" si="72"/>
      </c>
      <c r="DA83" s="2">
        <f t="shared" si="73"/>
      </c>
      <c r="DB83" s="128">
        <f t="shared" si="74"/>
      </c>
      <c r="DC83" s="2">
        <f t="shared" si="75"/>
      </c>
      <c r="DD83" s="2">
        <f t="shared" si="76"/>
      </c>
      <c r="DE83" s="128">
        <f t="shared" si="77"/>
      </c>
      <c r="DF83" s="2"/>
      <c r="DG83" s="2"/>
      <c r="DH83" s="128"/>
      <c r="DI83" s="2">
        <f t="shared" si="78"/>
      </c>
      <c r="DJ83" s="2">
        <f t="shared" si="79"/>
      </c>
      <c r="DK83" s="128">
        <f t="shared" si="80"/>
      </c>
      <c r="DL83" s="128"/>
      <c r="DM83" s="21" t="str">
        <f t="shared" si="81"/>
        <v>157.2.1。【說明：原實際條件成就時間為157.1.1，惟因必須配合學期而延至當學期結束之次日，始能退休生效，爰推算為157.2.1】</v>
      </c>
      <c r="DN83" s="2" t="str">
        <f t="shared" si="82"/>
        <v>157.1.1</v>
      </c>
      <c r="DO83" s="2"/>
      <c r="DP83" s="2"/>
      <c r="DQ83" s="2"/>
      <c r="DR83" s="2"/>
      <c r="DS83" s="2"/>
      <c r="DT83" s="2"/>
      <c r="DU83" s="2"/>
      <c r="DV83" s="10"/>
      <c r="DW83" s="2">
        <f t="shared" si="83"/>
        <v>157</v>
      </c>
      <c r="DX83" s="2" t="str">
        <f t="shared" si="84"/>
        <v>◆但@*%#...喔麥尬～上開生效日期已逾121年底的過渡期，仍否再適用指標數規定，恐有疑義！</v>
      </c>
      <c r="DY83" s="34"/>
      <c r="DZ83" s="7">
        <f t="shared" si="85"/>
        <v>1</v>
      </c>
      <c r="EA83" s="123">
        <f t="shared" si="86"/>
        <v>0</v>
      </c>
      <c r="EB83" s="211">
        <f t="shared" si="87"/>
      </c>
      <c r="EC83" s="210">
        <f t="shared" si="88"/>
      </c>
      <c r="ED83" s="210" t="e">
        <f t="shared" si="89"/>
        <v>#VALUE!</v>
      </c>
      <c r="EE83" s="34"/>
      <c r="EF83" s="34"/>
      <c r="EG83" s="34"/>
      <c r="EH83" s="34"/>
      <c r="EI83" s="34"/>
      <c r="EJ83" s="34"/>
      <c r="EK83" s="34"/>
      <c r="EL83" s="34"/>
      <c r="EM83" s="34"/>
      <c r="EN83" s="314"/>
      <c r="EO83" s="30"/>
      <c r="EP83" s="315"/>
      <c r="EQ83" s="315"/>
    </row>
    <row r="84" spans="1:147" s="29" customFormat="1" ht="15.75" customHeight="1" hidden="1" thickBot="1" thickTop="1">
      <c r="A84" s="143"/>
      <c r="B84" s="149">
        <f t="shared" si="98"/>
        <v>158</v>
      </c>
      <c r="C84" s="26">
        <f t="shared" si="94"/>
        <v>20691231</v>
      </c>
      <c r="D84" s="26" t="str">
        <f t="shared" si="10"/>
        <v>2069</v>
      </c>
      <c r="E84" s="26" t="str">
        <f t="shared" si="11"/>
        <v>12</v>
      </c>
      <c r="F84" s="26" t="str">
        <f t="shared" si="12"/>
        <v>31</v>
      </c>
      <c r="G84" s="300">
        <f t="shared" si="13"/>
        <v>62093</v>
      </c>
      <c r="H84" s="116">
        <f t="shared" si="0"/>
        <v>68</v>
      </c>
      <c r="I84" s="116">
        <f t="shared" si="14"/>
        <v>4</v>
      </c>
      <c r="J84" s="26">
        <f t="shared" si="111"/>
        <v>30</v>
      </c>
      <c r="K84" s="117">
        <f t="shared" si="15"/>
        <v>70</v>
      </c>
      <c r="L84" s="117">
        <f t="shared" si="16"/>
        <v>3</v>
      </c>
      <c r="M84" s="117">
        <f t="shared" si="17"/>
        <v>8</v>
      </c>
      <c r="N84" s="574" t="str">
        <f t="shared" si="99"/>
        <v>158.1.1~158.12.31</v>
      </c>
      <c r="O84" s="575"/>
      <c r="P84" s="575"/>
      <c r="Q84" s="576"/>
      <c r="R84" s="394">
        <v>60</v>
      </c>
      <c r="S84" s="391">
        <f t="shared" si="18"/>
        <v>100</v>
      </c>
      <c r="T84" s="392">
        <f t="shared" si="19"/>
        <v>70</v>
      </c>
      <c r="U84" s="393">
        <f t="shared" si="20"/>
        <v>170</v>
      </c>
      <c r="V84" s="148">
        <f t="shared" si="21"/>
      </c>
      <c r="W84" s="580">
        <f t="shared" si="120"/>
      </c>
      <c r="X84" s="581"/>
      <c r="Y84" s="581"/>
      <c r="Z84" s="582"/>
      <c r="AA84" s="249">
        <f t="shared" si="23"/>
      </c>
      <c r="AB84" s="248">
        <f t="shared" si="24"/>
      </c>
      <c r="AC84" s="330">
        <f t="shared" si="25"/>
      </c>
      <c r="AD84" s="102"/>
      <c r="AE84" s="118">
        <f t="shared" si="26"/>
        <v>0</v>
      </c>
      <c r="AF84" s="118">
        <f t="shared" si="27"/>
        <v>0</v>
      </c>
      <c r="AG84" s="118">
        <f t="shared" si="121"/>
        <v>1</v>
      </c>
      <c r="AH84" s="118">
        <f>IF(OR(AE84+AF84+AG84&gt;0,SUM($AE$30:AG83)&gt;0),1,0)</f>
        <v>1</v>
      </c>
      <c r="AI84" s="118">
        <f t="shared" si="29"/>
      </c>
      <c r="AJ84" s="118">
        <f t="shared" si="30"/>
      </c>
      <c r="AK84" s="118" t="str">
        <f t="shared" si="31"/>
        <v>符合「年齡滿65歲、年資滿15年」之擇領月退休金條件</v>
      </c>
      <c r="AL84" s="118" t="str">
        <f t="shared" si="112"/>
        <v>符合「年齡滿65歲、年資滿15年」之擇領月退休金條件</v>
      </c>
      <c r="AM84" s="119">
        <f t="shared" si="113"/>
        <v>0</v>
      </c>
      <c r="AN84" s="119">
        <f t="shared" si="114"/>
        <v>1</v>
      </c>
      <c r="AO84" s="119" t="str">
        <f t="shared" si="115"/>
        <v>符合</v>
      </c>
      <c r="AP84" s="119">
        <f t="shared" si="116"/>
        <v>100</v>
      </c>
      <c r="AQ84" s="119">
        <f t="shared" si="117"/>
        <v>20691231</v>
      </c>
      <c r="AR84" s="119" t="str">
        <f t="shared" si="118"/>
        <v>158.1.1~158.12.31</v>
      </c>
      <c r="AS84" s="120">
        <f t="shared" si="39"/>
      </c>
      <c r="AT84" s="121">
        <f t="shared" si="119"/>
      </c>
      <c r="AU84" s="121">
        <f t="shared" si="41"/>
        <v>1</v>
      </c>
      <c r="AV84" s="119">
        <f t="shared" si="42"/>
      </c>
      <c r="AW84" s="122">
        <f t="shared" si="43"/>
      </c>
      <c r="AX84" s="31">
        <f t="shared" si="44"/>
        <v>0</v>
      </c>
      <c r="AY84" s="7">
        <f t="shared" si="45"/>
        <v>1</v>
      </c>
      <c r="AZ84" s="123">
        <f t="shared" si="46"/>
        <v>1</v>
      </c>
      <c r="BA84" s="123">
        <f t="shared" si="47"/>
        <v>0</v>
      </c>
      <c r="BB84" s="123">
        <f t="shared" si="48"/>
      </c>
      <c r="BC84" s="33"/>
      <c r="BD84" s="33"/>
      <c r="BE84" s="33"/>
      <c r="BF84" s="33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4"/>
      <c r="BT84" s="34"/>
      <c r="BU84" s="34"/>
      <c r="BV84" s="34"/>
      <c r="BW84" s="179">
        <f t="shared" si="101"/>
        <v>23</v>
      </c>
      <c r="BX84" s="7">
        <f t="shared" si="102"/>
        <v>9</v>
      </c>
      <c r="BY84" s="20">
        <f t="shared" si="51"/>
        <v>158</v>
      </c>
      <c r="BZ84" s="2" t="str">
        <f t="shared" si="52"/>
        <v>158.2.5</v>
      </c>
      <c r="CA84" s="181">
        <f t="shared" si="53"/>
        <v>2</v>
      </c>
      <c r="CB84" s="2">
        <f t="shared" si="103"/>
        <v>5</v>
      </c>
      <c r="CC84" s="2" t="str">
        <f t="shared" si="54"/>
        <v>158.9.28</v>
      </c>
      <c r="CD84" s="181">
        <f t="shared" si="95"/>
        <v>9</v>
      </c>
      <c r="CE84" s="2">
        <f t="shared" si="96"/>
        <v>28</v>
      </c>
      <c r="CF84" s="2" t="str">
        <f t="shared" si="104"/>
        <v>生日</v>
      </c>
      <c r="CG84" s="2" t="str">
        <f t="shared" si="105"/>
        <v>158.2.5</v>
      </c>
      <c r="CH84" s="2">
        <f t="shared" si="106"/>
        <v>2</v>
      </c>
      <c r="CI84" s="2" t="str">
        <f t="shared" si="107"/>
        <v>初任</v>
      </c>
      <c r="CJ84" s="2" t="str">
        <f t="shared" si="108"/>
        <v>158.9.28</v>
      </c>
      <c r="CK84" s="2">
        <f t="shared" si="109"/>
        <v>9</v>
      </c>
      <c r="CL84" s="2">
        <f t="shared" si="110"/>
        <v>0</v>
      </c>
      <c r="CM84" s="339">
        <f t="shared" si="62"/>
      </c>
      <c r="CN84" s="2">
        <f t="shared" si="63"/>
      </c>
      <c r="CO84" s="2">
        <f t="shared" si="64"/>
      </c>
      <c r="CP84" s="2">
        <f t="shared" si="65"/>
      </c>
      <c r="CQ84" s="2">
        <f t="shared" si="66"/>
      </c>
      <c r="CR84" s="2">
        <f t="shared" si="7"/>
      </c>
      <c r="CS84" s="128">
        <f t="shared" si="8"/>
      </c>
      <c r="CT84" s="2">
        <f t="shared" si="67"/>
      </c>
      <c r="CU84" s="2">
        <f t="shared" si="68"/>
      </c>
      <c r="CV84" s="128">
        <f t="shared" si="69"/>
      </c>
      <c r="CW84" s="2" t="str">
        <f t="shared" si="97"/>
        <v>158.1.1</v>
      </c>
      <c r="CX84" s="2">
        <f t="shared" si="70"/>
        <v>1</v>
      </c>
      <c r="CY84" s="128" t="str">
        <f t="shared" si="71"/>
        <v>158.2.1。【說明：原實際條件成就時間為158.1.1，惟因必須配合學期而延至當學期結束之次日，始能退休生效，爰推算為158.2.1】</v>
      </c>
      <c r="CZ84" s="2">
        <f t="shared" si="72"/>
      </c>
      <c r="DA84" s="2">
        <f t="shared" si="73"/>
      </c>
      <c r="DB84" s="128">
        <f t="shared" si="74"/>
      </c>
      <c r="DC84" s="2">
        <f t="shared" si="75"/>
      </c>
      <c r="DD84" s="2">
        <f t="shared" si="76"/>
      </c>
      <c r="DE84" s="128">
        <f t="shared" si="77"/>
      </c>
      <c r="DF84" s="2"/>
      <c r="DG84" s="2"/>
      <c r="DH84" s="128"/>
      <c r="DI84" s="2">
        <f t="shared" si="78"/>
      </c>
      <c r="DJ84" s="2">
        <f t="shared" si="79"/>
      </c>
      <c r="DK84" s="128">
        <f t="shared" si="80"/>
      </c>
      <c r="DL84" s="128"/>
      <c r="DM84" s="21" t="str">
        <f t="shared" si="81"/>
        <v>158.2.1。【說明：原實際條件成就時間為158.1.1，惟因必須配合學期而延至當學期結束之次日，始能退休生效，爰推算為158.2.1】</v>
      </c>
      <c r="DN84" s="2" t="str">
        <f t="shared" si="82"/>
        <v>158.1.1</v>
      </c>
      <c r="DO84" s="2"/>
      <c r="DP84" s="2"/>
      <c r="DQ84" s="2"/>
      <c r="DR84" s="2"/>
      <c r="DS84" s="2"/>
      <c r="DT84" s="2"/>
      <c r="DU84" s="2"/>
      <c r="DV84" s="10"/>
      <c r="DW84" s="2">
        <f t="shared" si="83"/>
        <v>158</v>
      </c>
      <c r="DX84" s="2" t="str">
        <f t="shared" si="84"/>
        <v>◆但@*%#...喔麥尬～上開生效日期已逾121年底的過渡期，仍否再適用指標數規定，恐有疑義！</v>
      </c>
      <c r="DY84" s="34"/>
      <c r="DZ84" s="7">
        <f t="shared" si="85"/>
        <v>1</v>
      </c>
      <c r="EA84" s="123">
        <f t="shared" si="86"/>
        <v>0</v>
      </c>
      <c r="EB84" s="211">
        <f t="shared" si="87"/>
      </c>
      <c r="EC84" s="210">
        <f t="shared" si="88"/>
      </c>
      <c r="ED84" s="210" t="e">
        <f t="shared" si="89"/>
        <v>#VALUE!</v>
      </c>
      <c r="EE84" s="34"/>
      <c r="EF84" s="34"/>
      <c r="EG84" s="34"/>
      <c r="EH84" s="34"/>
      <c r="EI84" s="34"/>
      <c r="EJ84" s="34"/>
      <c r="EK84" s="34"/>
      <c r="EL84" s="34"/>
      <c r="EM84" s="34"/>
      <c r="EN84" s="314"/>
      <c r="EO84" s="30"/>
      <c r="EP84" s="315"/>
      <c r="EQ84" s="315"/>
    </row>
    <row r="85" spans="1:147" s="29" customFormat="1" ht="15.75" customHeight="1" hidden="1" thickBot="1" thickTop="1">
      <c r="A85" s="143"/>
      <c r="B85" s="149">
        <f t="shared" si="98"/>
        <v>159</v>
      </c>
      <c r="C85" s="26">
        <f t="shared" si="94"/>
        <v>20701231</v>
      </c>
      <c r="D85" s="26" t="str">
        <f t="shared" si="10"/>
        <v>2070</v>
      </c>
      <c r="E85" s="26" t="str">
        <f t="shared" si="11"/>
        <v>12</v>
      </c>
      <c r="F85" s="26" t="str">
        <f t="shared" si="12"/>
        <v>31</v>
      </c>
      <c r="G85" s="300">
        <f t="shared" si="13"/>
        <v>62458</v>
      </c>
      <c r="H85" s="116">
        <f t="shared" si="0"/>
        <v>69</v>
      </c>
      <c r="I85" s="116">
        <f t="shared" si="14"/>
        <v>4</v>
      </c>
      <c r="J85" s="26">
        <f t="shared" si="111"/>
        <v>30</v>
      </c>
      <c r="K85" s="117">
        <f t="shared" si="15"/>
        <v>71</v>
      </c>
      <c r="L85" s="117">
        <f t="shared" si="16"/>
        <v>3</v>
      </c>
      <c r="M85" s="117">
        <f t="shared" si="17"/>
        <v>8</v>
      </c>
      <c r="N85" s="574" t="str">
        <f t="shared" si="99"/>
        <v>159.1.1~159.12.31</v>
      </c>
      <c r="O85" s="575"/>
      <c r="P85" s="575"/>
      <c r="Q85" s="576"/>
      <c r="R85" s="394">
        <v>60</v>
      </c>
      <c r="S85" s="391">
        <f t="shared" si="18"/>
        <v>101</v>
      </c>
      <c r="T85" s="392">
        <f t="shared" si="19"/>
        <v>71</v>
      </c>
      <c r="U85" s="393">
        <f t="shared" si="20"/>
        <v>172</v>
      </c>
      <c r="V85" s="148">
        <f t="shared" si="21"/>
      </c>
      <c r="W85" s="580">
        <f t="shared" si="120"/>
      </c>
      <c r="X85" s="581"/>
      <c r="Y85" s="581"/>
      <c r="Z85" s="582"/>
      <c r="AA85" s="249">
        <f t="shared" si="23"/>
      </c>
      <c r="AB85" s="248">
        <f t="shared" si="24"/>
      </c>
      <c r="AC85" s="330">
        <f t="shared" si="25"/>
      </c>
      <c r="AD85" s="102"/>
      <c r="AE85" s="118">
        <f t="shared" si="26"/>
        <v>0</v>
      </c>
      <c r="AF85" s="118">
        <f t="shared" si="27"/>
        <v>0</v>
      </c>
      <c r="AG85" s="118">
        <f t="shared" si="121"/>
        <v>1</v>
      </c>
      <c r="AH85" s="118">
        <f>IF(OR(AE85+AF85+AG85&gt;0,SUM($AE$30:AG84)&gt;0),1,0)</f>
        <v>1</v>
      </c>
      <c r="AI85" s="118">
        <f t="shared" si="29"/>
      </c>
      <c r="AJ85" s="118">
        <f t="shared" si="30"/>
      </c>
      <c r="AK85" s="118" t="str">
        <f t="shared" si="31"/>
        <v>符合「年齡滿65歲、年資滿15年」之擇領月退休金條件</v>
      </c>
      <c r="AL85" s="118" t="str">
        <f t="shared" si="112"/>
        <v>符合「年齡滿65歲、年資滿15年」之擇領月退休金條件</v>
      </c>
      <c r="AM85" s="119">
        <f t="shared" si="113"/>
        <v>0</v>
      </c>
      <c r="AN85" s="119">
        <f t="shared" si="114"/>
        <v>1</v>
      </c>
      <c r="AO85" s="119" t="str">
        <f t="shared" si="115"/>
        <v>符合</v>
      </c>
      <c r="AP85" s="119">
        <f t="shared" si="116"/>
        <v>101</v>
      </c>
      <c r="AQ85" s="119">
        <f t="shared" si="117"/>
        <v>20701231</v>
      </c>
      <c r="AR85" s="119" t="str">
        <f t="shared" si="118"/>
        <v>159.1.1~159.12.31</v>
      </c>
      <c r="AS85" s="120">
        <f t="shared" si="39"/>
      </c>
      <c r="AT85" s="121">
        <f t="shared" si="119"/>
      </c>
      <c r="AU85" s="121">
        <f t="shared" si="41"/>
        <v>1</v>
      </c>
      <c r="AV85" s="119">
        <f t="shared" si="42"/>
      </c>
      <c r="AW85" s="122">
        <f t="shared" si="43"/>
      </c>
      <c r="AX85" s="31">
        <f t="shared" si="44"/>
        <v>0</v>
      </c>
      <c r="AY85" s="7">
        <f t="shared" si="45"/>
        <v>1</v>
      </c>
      <c r="AZ85" s="123">
        <f t="shared" si="46"/>
        <v>1</v>
      </c>
      <c r="BA85" s="123">
        <f t="shared" si="47"/>
        <v>0</v>
      </c>
      <c r="BB85" s="123">
        <f t="shared" si="48"/>
      </c>
      <c r="BC85" s="33"/>
      <c r="BD85" s="33"/>
      <c r="BE85" s="33"/>
      <c r="BF85" s="33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4"/>
      <c r="BT85" s="34"/>
      <c r="BU85" s="34"/>
      <c r="BV85" s="34"/>
      <c r="BW85" s="179">
        <f t="shared" si="101"/>
        <v>23</v>
      </c>
      <c r="BX85" s="7">
        <f t="shared" si="102"/>
        <v>9</v>
      </c>
      <c r="BY85" s="20">
        <f t="shared" si="51"/>
        <v>159</v>
      </c>
      <c r="BZ85" s="2" t="str">
        <f t="shared" si="52"/>
        <v>159.2.5</v>
      </c>
      <c r="CA85" s="181">
        <f t="shared" si="53"/>
        <v>2</v>
      </c>
      <c r="CB85" s="2">
        <f t="shared" si="103"/>
        <v>5</v>
      </c>
      <c r="CC85" s="2" t="str">
        <f t="shared" si="54"/>
        <v>159.9.28</v>
      </c>
      <c r="CD85" s="181">
        <f t="shared" si="95"/>
        <v>9</v>
      </c>
      <c r="CE85" s="2">
        <f t="shared" si="96"/>
        <v>28</v>
      </c>
      <c r="CF85" s="2" t="str">
        <f t="shared" si="104"/>
        <v>生日</v>
      </c>
      <c r="CG85" s="2" t="str">
        <f t="shared" si="105"/>
        <v>159.2.5</v>
      </c>
      <c r="CH85" s="2">
        <f t="shared" si="106"/>
        <v>2</v>
      </c>
      <c r="CI85" s="2" t="str">
        <f t="shared" si="107"/>
        <v>初任</v>
      </c>
      <c r="CJ85" s="2" t="str">
        <f t="shared" si="108"/>
        <v>159.9.28</v>
      </c>
      <c r="CK85" s="2">
        <f t="shared" si="109"/>
        <v>9</v>
      </c>
      <c r="CL85" s="2">
        <f t="shared" si="110"/>
        <v>0</v>
      </c>
      <c r="CM85" s="339">
        <f t="shared" si="62"/>
      </c>
      <c r="CN85" s="2">
        <f t="shared" si="63"/>
      </c>
      <c r="CO85" s="2">
        <f t="shared" si="64"/>
      </c>
      <c r="CP85" s="2">
        <f t="shared" si="65"/>
      </c>
      <c r="CQ85" s="2">
        <f t="shared" si="66"/>
      </c>
      <c r="CR85" s="2">
        <f t="shared" si="7"/>
      </c>
      <c r="CS85" s="128">
        <f t="shared" si="8"/>
      </c>
      <c r="CT85" s="2">
        <f t="shared" si="67"/>
      </c>
      <c r="CU85" s="2">
        <f t="shared" si="68"/>
      </c>
      <c r="CV85" s="128">
        <f t="shared" si="69"/>
      </c>
      <c r="CW85" s="2" t="str">
        <f t="shared" si="97"/>
        <v>159.1.1</v>
      </c>
      <c r="CX85" s="2">
        <f t="shared" si="70"/>
        <v>1</v>
      </c>
      <c r="CY85" s="128" t="str">
        <f t="shared" si="71"/>
        <v>159.2.1。【說明：原實際條件成就時間為159.1.1，惟因必須配合學期而延至當學期結束之次日，始能退休生效，爰推算為159.2.1】</v>
      </c>
      <c r="CZ85" s="2">
        <f t="shared" si="72"/>
      </c>
      <c r="DA85" s="2">
        <f t="shared" si="73"/>
      </c>
      <c r="DB85" s="128">
        <f t="shared" si="74"/>
      </c>
      <c r="DC85" s="2">
        <f t="shared" si="75"/>
      </c>
      <c r="DD85" s="2">
        <f t="shared" si="76"/>
      </c>
      <c r="DE85" s="128">
        <f t="shared" si="77"/>
      </c>
      <c r="DF85" s="2"/>
      <c r="DG85" s="2"/>
      <c r="DH85" s="128"/>
      <c r="DI85" s="2">
        <f t="shared" si="78"/>
      </c>
      <c r="DJ85" s="2">
        <f t="shared" si="79"/>
      </c>
      <c r="DK85" s="128">
        <f t="shared" si="80"/>
      </c>
      <c r="DL85" s="128"/>
      <c r="DM85" s="21" t="str">
        <f t="shared" si="81"/>
        <v>159.2.1。【說明：原實際條件成就時間為159.1.1，惟因必須配合學期而延至當學期結束之次日，始能退休生效，爰推算為159.2.1】</v>
      </c>
      <c r="DN85" s="2" t="str">
        <f t="shared" si="82"/>
        <v>159.1.1</v>
      </c>
      <c r="DO85" s="2"/>
      <c r="DP85" s="2"/>
      <c r="DQ85" s="2"/>
      <c r="DR85" s="2"/>
      <c r="DS85" s="2"/>
      <c r="DT85" s="2"/>
      <c r="DU85" s="2"/>
      <c r="DV85" s="10"/>
      <c r="DW85" s="2">
        <f t="shared" si="83"/>
        <v>159</v>
      </c>
      <c r="DX85" s="2" t="str">
        <f t="shared" si="84"/>
        <v>◆但@*%#...喔麥尬～上開生效日期已逾121年底的過渡期，仍否再適用指標數規定，恐有疑義！</v>
      </c>
      <c r="DY85" s="34"/>
      <c r="DZ85" s="7">
        <f t="shared" si="85"/>
        <v>1</v>
      </c>
      <c r="EA85" s="123">
        <f t="shared" si="86"/>
        <v>0</v>
      </c>
      <c r="EB85" s="211">
        <f t="shared" si="87"/>
      </c>
      <c r="EC85" s="210">
        <f t="shared" si="88"/>
      </c>
      <c r="ED85" s="210" t="e">
        <f t="shared" si="89"/>
        <v>#VALUE!</v>
      </c>
      <c r="EE85" s="34"/>
      <c r="EF85" s="34"/>
      <c r="EG85" s="34"/>
      <c r="EH85" s="34"/>
      <c r="EI85" s="34"/>
      <c r="EJ85" s="34"/>
      <c r="EK85" s="34"/>
      <c r="EL85" s="34"/>
      <c r="EM85" s="34"/>
      <c r="EN85" s="314"/>
      <c r="EO85" s="30"/>
      <c r="EP85" s="315"/>
      <c r="EQ85" s="315"/>
    </row>
    <row r="86" spans="1:147" s="29" customFormat="1" ht="15.75" customHeight="1" hidden="1" thickBot="1" thickTop="1">
      <c r="A86" s="143"/>
      <c r="B86" s="149">
        <f t="shared" si="98"/>
        <v>160</v>
      </c>
      <c r="C86" s="26">
        <f t="shared" si="94"/>
        <v>20711231</v>
      </c>
      <c r="D86" s="26" t="str">
        <f t="shared" si="10"/>
        <v>2071</v>
      </c>
      <c r="E86" s="26" t="str">
        <f t="shared" si="11"/>
        <v>12</v>
      </c>
      <c r="F86" s="26" t="str">
        <f t="shared" si="12"/>
        <v>31</v>
      </c>
      <c r="G86" s="300">
        <f t="shared" si="13"/>
        <v>62823</v>
      </c>
      <c r="H86" s="116">
        <f t="shared" si="0"/>
        <v>70</v>
      </c>
      <c r="I86" s="116">
        <f t="shared" si="14"/>
        <v>4</v>
      </c>
      <c r="J86" s="26">
        <f t="shared" si="111"/>
        <v>30</v>
      </c>
      <c r="K86" s="117">
        <f t="shared" si="15"/>
        <v>72</v>
      </c>
      <c r="L86" s="117">
        <f t="shared" si="16"/>
        <v>3</v>
      </c>
      <c r="M86" s="117">
        <f t="shared" si="17"/>
        <v>8</v>
      </c>
      <c r="N86" s="574" t="str">
        <f t="shared" si="99"/>
        <v>160.1.1~160.12.31</v>
      </c>
      <c r="O86" s="575"/>
      <c r="P86" s="575"/>
      <c r="Q86" s="576"/>
      <c r="R86" s="394">
        <v>60</v>
      </c>
      <c r="S86" s="391">
        <f t="shared" si="18"/>
        <v>102</v>
      </c>
      <c r="T86" s="392">
        <f t="shared" si="19"/>
        <v>72</v>
      </c>
      <c r="U86" s="393">
        <f t="shared" si="20"/>
        <v>174</v>
      </c>
      <c r="V86" s="148">
        <f t="shared" si="21"/>
      </c>
      <c r="W86" s="580">
        <f t="shared" si="120"/>
      </c>
      <c r="X86" s="581"/>
      <c r="Y86" s="581"/>
      <c r="Z86" s="582"/>
      <c r="AA86" s="249">
        <f t="shared" si="23"/>
      </c>
      <c r="AB86" s="248">
        <f t="shared" si="24"/>
      </c>
      <c r="AC86" s="330">
        <f t="shared" si="25"/>
      </c>
      <c r="AD86" s="102"/>
      <c r="AE86" s="118">
        <f t="shared" si="26"/>
        <v>0</v>
      </c>
      <c r="AF86" s="118">
        <f t="shared" si="27"/>
        <v>0</v>
      </c>
      <c r="AG86" s="118">
        <f t="shared" si="121"/>
        <v>1</v>
      </c>
      <c r="AH86" s="118">
        <f>IF(OR(AE86+AF86+AG86&gt;0,SUM($AE$30:AG85)&gt;0),1,0)</f>
        <v>1</v>
      </c>
      <c r="AI86" s="118">
        <f t="shared" si="29"/>
      </c>
      <c r="AJ86" s="118">
        <f t="shared" si="30"/>
      </c>
      <c r="AK86" s="118" t="str">
        <f t="shared" si="31"/>
        <v>符合「年齡滿65歲、年資滿15年」之擇領月退休金條件</v>
      </c>
      <c r="AL86" s="118" t="str">
        <f t="shared" si="112"/>
        <v>符合「年齡滿65歲、年資滿15年」之擇領月退休金條件</v>
      </c>
      <c r="AM86" s="119">
        <f t="shared" si="113"/>
        <v>0</v>
      </c>
      <c r="AN86" s="119">
        <f t="shared" si="114"/>
        <v>1</v>
      </c>
      <c r="AO86" s="119" t="str">
        <f t="shared" si="115"/>
        <v>符合</v>
      </c>
      <c r="AP86" s="119">
        <f t="shared" si="116"/>
        <v>102</v>
      </c>
      <c r="AQ86" s="119">
        <f t="shared" si="117"/>
        <v>20711231</v>
      </c>
      <c r="AR86" s="119" t="str">
        <f t="shared" si="118"/>
        <v>160.1.1~160.12.31</v>
      </c>
      <c r="AS86" s="120">
        <f t="shared" si="39"/>
      </c>
      <c r="AT86" s="121">
        <f t="shared" si="119"/>
      </c>
      <c r="AU86" s="121">
        <f t="shared" si="41"/>
        <v>1</v>
      </c>
      <c r="AV86" s="119">
        <f t="shared" si="42"/>
      </c>
      <c r="AW86" s="122">
        <f t="shared" si="43"/>
      </c>
      <c r="AX86" s="31">
        <f t="shared" si="44"/>
        <v>0</v>
      </c>
      <c r="AY86" s="7">
        <f t="shared" si="45"/>
        <v>1</v>
      </c>
      <c r="AZ86" s="123">
        <f t="shared" si="46"/>
        <v>1</v>
      </c>
      <c r="BA86" s="123">
        <f t="shared" si="47"/>
        <v>0</v>
      </c>
      <c r="BB86" s="123">
        <f t="shared" si="48"/>
      </c>
      <c r="BC86" s="33"/>
      <c r="BD86" s="33"/>
      <c r="BE86" s="33"/>
      <c r="BF86" s="33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4"/>
      <c r="BT86" s="34"/>
      <c r="BU86" s="34"/>
      <c r="BV86" s="34"/>
      <c r="BW86" s="179">
        <f t="shared" si="101"/>
        <v>23</v>
      </c>
      <c r="BX86" s="7">
        <f t="shared" si="102"/>
        <v>9</v>
      </c>
      <c r="BY86" s="20">
        <f t="shared" si="51"/>
        <v>160</v>
      </c>
      <c r="BZ86" s="2" t="str">
        <f t="shared" si="52"/>
        <v>160.2.5</v>
      </c>
      <c r="CA86" s="181">
        <f t="shared" si="53"/>
        <v>2</v>
      </c>
      <c r="CB86" s="2">
        <f t="shared" si="103"/>
        <v>5</v>
      </c>
      <c r="CC86" s="2" t="str">
        <f t="shared" si="54"/>
        <v>160.9.28</v>
      </c>
      <c r="CD86" s="181">
        <f t="shared" si="95"/>
        <v>9</v>
      </c>
      <c r="CE86" s="2">
        <f t="shared" si="96"/>
        <v>28</v>
      </c>
      <c r="CF86" s="2" t="str">
        <f t="shared" si="104"/>
        <v>生日</v>
      </c>
      <c r="CG86" s="2" t="str">
        <f t="shared" si="105"/>
        <v>160.2.5</v>
      </c>
      <c r="CH86" s="2">
        <f t="shared" si="106"/>
        <v>2</v>
      </c>
      <c r="CI86" s="2" t="str">
        <f t="shared" si="107"/>
        <v>初任</v>
      </c>
      <c r="CJ86" s="2" t="str">
        <f t="shared" si="108"/>
        <v>160.9.28</v>
      </c>
      <c r="CK86" s="2">
        <f t="shared" si="109"/>
        <v>9</v>
      </c>
      <c r="CL86" s="2">
        <f t="shared" si="110"/>
        <v>0</v>
      </c>
      <c r="CM86" s="339">
        <f t="shared" si="62"/>
      </c>
      <c r="CN86" s="2">
        <f t="shared" si="63"/>
      </c>
      <c r="CO86" s="2">
        <f t="shared" si="64"/>
      </c>
      <c r="CP86" s="2">
        <f t="shared" si="65"/>
      </c>
      <c r="CQ86" s="2">
        <f t="shared" si="66"/>
      </c>
      <c r="CR86" s="2">
        <f t="shared" si="7"/>
      </c>
      <c r="CS86" s="128">
        <f t="shared" si="8"/>
      </c>
      <c r="CT86" s="2">
        <f t="shared" si="67"/>
      </c>
      <c r="CU86" s="2">
        <f t="shared" si="68"/>
      </c>
      <c r="CV86" s="128">
        <f t="shared" si="69"/>
      </c>
      <c r="CW86" s="2" t="str">
        <f t="shared" si="97"/>
        <v>160.1.1</v>
      </c>
      <c r="CX86" s="2">
        <f t="shared" si="70"/>
        <v>1</v>
      </c>
      <c r="CY86" s="128" t="str">
        <f t="shared" si="71"/>
        <v>160.2.1。【說明：原實際條件成就時間為160.1.1，惟因必須配合學期而延至當學期結束之次日，始能退休生效，爰推算為160.2.1】</v>
      </c>
      <c r="CZ86" s="2">
        <f t="shared" si="72"/>
      </c>
      <c r="DA86" s="2">
        <f t="shared" si="73"/>
      </c>
      <c r="DB86" s="128">
        <f t="shared" si="74"/>
      </c>
      <c r="DC86" s="2">
        <f t="shared" si="75"/>
      </c>
      <c r="DD86" s="2">
        <f t="shared" si="76"/>
      </c>
      <c r="DE86" s="128">
        <f t="shared" si="77"/>
      </c>
      <c r="DF86" s="2"/>
      <c r="DG86" s="2"/>
      <c r="DH86" s="128"/>
      <c r="DI86" s="2">
        <f t="shared" si="78"/>
      </c>
      <c r="DJ86" s="2">
        <f t="shared" si="79"/>
      </c>
      <c r="DK86" s="128">
        <f t="shared" si="80"/>
      </c>
      <c r="DL86" s="128"/>
      <c r="DM86" s="21" t="str">
        <f t="shared" si="81"/>
        <v>160.2.1。【說明：原實際條件成就時間為160.1.1，惟因必須配合學期而延至當學期結束之次日，始能退休生效，爰推算為160.2.1】</v>
      </c>
      <c r="DN86" s="2" t="str">
        <f t="shared" si="82"/>
        <v>160.1.1</v>
      </c>
      <c r="DO86" s="2"/>
      <c r="DP86" s="2"/>
      <c r="DQ86" s="2"/>
      <c r="DR86" s="2"/>
      <c r="DS86" s="2"/>
      <c r="DT86" s="2"/>
      <c r="DU86" s="2"/>
      <c r="DV86" s="10"/>
      <c r="DW86" s="2">
        <f t="shared" si="83"/>
        <v>160</v>
      </c>
      <c r="DX86" s="2" t="str">
        <f t="shared" si="84"/>
        <v>◆但@*%#...喔麥尬～上開生效日期已逾121年底的過渡期，仍否再適用指標數規定，恐有疑義！</v>
      </c>
      <c r="DY86" s="34"/>
      <c r="DZ86" s="7">
        <f t="shared" si="85"/>
        <v>1</v>
      </c>
      <c r="EA86" s="123">
        <f t="shared" si="86"/>
        <v>0</v>
      </c>
      <c r="EB86" s="211">
        <f t="shared" si="87"/>
      </c>
      <c r="EC86" s="210">
        <f t="shared" si="88"/>
      </c>
      <c r="ED86" s="210" t="e">
        <f t="shared" si="89"/>
        <v>#VALUE!</v>
      </c>
      <c r="EE86" s="34"/>
      <c r="EF86" s="34"/>
      <c r="EG86" s="34"/>
      <c r="EH86" s="34"/>
      <c r="EI86" s="34"/>
      <c r="EJ86" s="34"/>
      <c r="EK86" s="34"/>
      <c r="EL86" s="34"/>
      <c r="EM86" s="34"/>
      <c r="EN86" s="314"/>
      <c r="EO86" s="30"/>
      <c r="EP86" s="315"/>
      <c r="EQ86" s="315"/>
    </row>
    <row r="87" spans="1:147" s="29" customFormat="1" ht="15.75" customHeight="1" hidden="1" thickBot="1" thickTop="1">
      <c r="A87" s="143"/>
      <c r="B87" s="149">
        <f t="shared" si="98"/>
        <v>161</v>
      </c>
      <c r="C87" s="26">
        <f t="shared" si="94"/>
        <v>20721231</v>
      </c>
      <c r="D87" s="26" t="str">
        <f t="shared" si="10"/>
        <v>2072</v>
      </c>
      <c r="E87" s="26" t="str">
        <f t="shared" si="11"/>
        <v>12</v>
      </c>
      <c r="F87" s="26" t="str">
        <f t="shared" si="12"/>
        <v>31</v>
      </c>
      <c r="G87" s="300">
        <f t="shared" si="13"/>
        <v>63189</v>
      </c>
      <c r="H87" s="116">
        <f t="shared" si="0"/>
        <v>71</v>
      </c>
      <c r="I87" s="116">
        <f t="shared" si="14"/>
        <v>4</v>
      </c>
      <c r="J87" s="26">
        <f t="shared" si="111"/>
        <v>30</v>
      </c>
      <c r="K87" s="117">
        <f t="shared" si="15"/>
        <v>73</v>
      </c>
      <c r="L87" s="117">
        <f t="shared" si="16"/>
        <v>3</v>
      </c>
      <c r="M87" s="117">
        <f t="shared" si="17"/>
        <v>8</v>
      </c>
      <c r="N87" s="574" t="str">
        <f t="shared" si="99"/>
        <v>161.1.1~161.12.31</v>
      </c>
      <c r="O87" s="575"/>
      <c r="P87" s="575"/>
      <c r="Q87" s="576"/>
      <c r="R87" s="394">
        <v>60</v>
      </c>
      <c r="S87" s="391">
        <f t="shared" si="18"/>
        <v>103</v>
      </c>
      <c r="T87" s="392">
        <f t="shared" si="19"/>
        <v>73</v>
      </c>
      <c r="U87" s="393">
        <f t="shared" si="20"/>
        <v>176</v>
      </c>
      <c r="V87" s="148">
        <f t="shared" si="21"/>
      </c>
      <c r="W87" s="580">
        <f t="shared" si="120"/>
      </c>
      <c r="X87" s="581"/>
      <c r="Y87" s="581"/>
      <c r="Z87" s="582"/>
      <c r="AA87" s="249">
        <f t="shared" si="23"/>
      </c>
      <c r="AB87" s="248">
        <f t="shared" si="24"/>
      </c>
      <c r="AC87" s="330">
        <f t="shared" si="25"/>
      </c>
      <c r="AD87" s="102"/>
      <c r="AE87" s="118">
        <f t="shared" si="26"/>
        <v>0</v>
      </c>
      <c r="AF87" s="118">
        <f t="shared" si="27"/>
        <v>0</v>
      </c>
      <c r="AG87" s="118">
        <f t="shared" si="121"/>
        <v>1</v>
      </c>
      <c r="AH87" s="118">
        <f>IF(OR(AE87+AF87+AG87&gt;0,SUM($AE$30:AG86)&gt;0),1,0)</f>
        <v>1</v>
      </c>
      <c r="AI87" s="118">
        <f t="shared" si="29"/>
      </c>
      <c r="AJ87" s="118">
        <f t="shared" si="30"/>
      </c>
      <c r="AK87" s="118" t="str">
        <f t="shared" si="31"/>
        <v>符合「年齡滿65歲、年資滿15年」之擇領月退休金條件</v>
      </c>
      <c r="AL87" s="118" t="str">
        <f t="shared" si="112"/>
        <v>符合「年齡滿65歲、年資滿15年」之擇領月退休金條件</v>
      </c>
      <c r="AM87" s="119">
        <f t="shared" si="113"/>
        <v>0</v>
      </c>
      <c r="AN87" s="119">
        <f t="shared" si="114"/>
        <v>1</v>
      </c>
      <c r="AO87" s="119" t="str">
        <f t="shared" si="115"/>
        <v>符合</v>
      </c>
      <c r="AP87" s="119">
        <f t="shared" si="116"/>
        <v>103</v>
      </c>
      <c r="AQ87" s="119">
        <f t="shared" si="117"/>
        <v>20721231</v>
      </c>
      <c r="AR87" s="119" t="str">
        <f t="shared" si="118"/>
        <v>161.1.1~161.12.31</v>
      </c>
      <c r="AS87" s="120">
        <f t="shared" si="39"/>
      </c>
      <c r="AT87" s="121">
        <f t="shared" si="119"/>
      </c>
      <c r="AU87" s="121">
        <f t="shared" si="41"/>
        <v>1</v>
      </c>
      <c r="AV87" s="119">
        <f t="shared" si="42"/>
      </c>
      <c r="AW87" s="122">
        <f t="shared" si="43"/>
      </c>
      <c r="AX87" s="31">
        <f t="shared" si="44"/>
        <v>0</v>
      </c>
      <c r="AY87" s="7">
        <f t="shared" si="45"/>
        <v>1</v>
      </c>
      <c r="AZ87" s="123">
        <f t="shared" si="46"/>
        <v>1</v>
      </c>
      <c r="BA87" s="123">
        <f t="shared" si="47"/>
        <v>0</v>
      </c>
      <c r="BB87" s="123">
        <f t="shared" si="48"/>
      </c>
      <c r="BC87" s="33"/>
      <c r="BD87" s="33"/>
      <c r="BE87" s="33"/>
      <c r="BF87" s="33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4"/>
      <c r="BT87" s="34"/>
      <c r="BU87" s="34"/>
      <c r="BV87" s="34"/>
      <c r="BW87" s="179">
        <f t="shared" si="101"/>
        <v>23</v>
      </c>
      <c r="BX87" s="7">
        <f t="shared" si="102"/>
        <v>9</v>
      </c>
      <c r="BY87" s="20">
        <f t="shared" si="51"/>
        <v>161</v>
      </c>
      <c r="BZ87" s="2" t="str">
        <f t="shared" si="52"/>
        <v>161.2.5</v>
      </c>
      <c r="CA87" s="181">
        <f t="shared" si="53"/>
        <v>2</v>
      </c>
      <c r="CB87" s="2">
        <f t="shared" si="103"/>
        <v>5</v>
      </c>
      <c r="CC87" s="2" t="str">
        <f t="shared" si="54"/>
        <v>161.9.28</v>
      </c>
      <c r="CD87" s="181">
        <f t="shared" si="95"/>
        <v>9</v>
      </c>
      <c r="CE87" s="2">
        <f t="shared" si="96"/>
        <v>28</v>
      </c>
      <c r="CF87" s="2" t="str">
        <f t="shared" si="104"/>
        <v>生日</v>
      </c>
      <c r="CG87" s="2" t="str">
        <f t="shared" si="105"/>
        <v>161.2.5</v>
      </c>
      <c r="CH87" s="2">
        <f t="shared" si="106"/>
        <v>2</v>
      </c>
      <c r="CI87" s="2" t="str">
        <f t="shared" si="107"/>
        <v>初任</v>
      </c>
      <c r="CJ87" s="2" t="str">
        <f t="shared" si="108"/>
        <v>161.9.28</v>
      </c>
      <c r="CK87" s="2">
        <f t="shared" si="109"/>
        <v>9</v>
      </c>
      <c r="CL87" s="2">
        <f t="shared" si="110"/>
        <v>0</v>
      </c>
      <c r="CM87" s="339">
        <f t="shared" si="62"/>
      </c>
      <c r="CN87" s="2">
        <f t="shared" si="63"/>
      </c>
      <c r="CO87" s="2">
        <f t="shared" si="64"/>
      </c>
      <c r="CP87" s="2">
        <f t="shared" si="65"/>
      </c>
      <c r="CQ87" s="2">
        <f t="shared" si="66"/>
      </c>
      <c r="CR87" s="2">
        <f t="shared" si="7"/>
      </c>
      <c r="CS87" s="128">
        <f t="shared" si="8"/>
      </c>
      <c r="CT87" s="2">
        <f t="shared" si="67"/>
      </c>
      <c r="CU87" s="2">
        <f t="shared" si="68"/>
      </c>
      <c r="CV87" s="128">
        <f t="shared" si="69"/>
      </c>
      <c r="CW87" s="2" t="str">
        <f t="shared" si="97"/>
        <v>161.1.1</v>
      </c>
      <c r="CX87" s="2">
        <f t="shared" si="70"/>
        <v>1</v>
      </c>
      <c r="CY87" s="128" t="str">
        <f t="shared" si="71"/>
        <v>161.2.1。【說明：原實際條件成就時間為161.1.1，惟因必須配合學期而延至當學期結束之次日，始能退休生效，爰推算為161.2.1】</v>
      </c>
      <c r="CZ87" s="2">
        <f t="shared" si="72"/>
      </c>
      <c r="DA87" s="2">
        <f t="shared" si="73"/>
      </c>
      <c r="DB87" s="128">
        <f t="shared" si="74"/>
      </c>
      <c r="DC87" s="2">
        <f t="shared" si="75"/>
      </c>
      <c r="DD87" s="2">
        <f t="shared" si="76"/>
      </c>
      <c r="DE87" s="128">
        <f t="shared" si="77"/>
      </c>
      <c r="DF87" s="2"/>
      <c r="DG87" s="2"/>
      <c r="DH87" s="128"/>
      <c r="DI87" s="2">
        <f t="shared" si="78"/>
      </c>
      <c r="DJ87" s="2">
        <f t="shared" si="79"/>
      </c>
      <c r="DK87" s="128">
        <f t="shared" si="80"/>
      </c>
      <c r="DL87" s="128"/>
      <c r="DM87" s="21" t="str">
        <f t="shared" si="81"/>
        <v>161.2.1。【說明：原實際條件成就時間為161.1.1，惟因必須配合學期而延至當學期結束之次日，始能退休生效，爰推算為161.2.1】</v>
      </c>
      <c r="DN87" s="2" t="str">
        <f t="shared" si="82"/>
        <v>161.1.1</v>
      </c>
      <c r="DO87" s="2"/>
      <c r="DP87" s="2"/>
      <c r="DQ87" s="2"/>
      <c r="DR87" s="2"/>
      <c r="DS87" s="2"/>
      <c r="DT87" s="2"/>
      <c r="DU87" s="2"/>
      <c r="DV87" s="10"/>
      <c r="DW87" s="2">
        <f t="shared" si="83"/>
        <v>161</v>
      </c>
      <c r="DX87" s="2" t="str">
        <f t="shared" si="84"/>
        <v>◆但@*%#...喔麥尬～上開生效日期已逾121年底的過渡期，仍否再適用指標數規定，恐有疑義！</v>
      </c>
      <c r="DY87" s="34"/>
      <c r="DZ87" s="7">
        <f t="shared" si="85"/>
        <v>1</v>
      </c>
      <c r="EA87" s="123">
        <f t="shared" si="86"/>
        <v>0</v>
      </c>
      <c r="EB87" s="211">
        <f t="shared" si="87"/>
      </c>
      <c r="EC87" s="210">
        <f t="shared" si="88"/>
      </c>
      <c r="ED87" s="210" t="e">
        <f t="shared" si="89"/>
        <v>#VALUE!</v>
      </c>
      <c r="EE87" s="34"/>
      <c r="EF87" s="34"/>
      <c r="EG87" s="34"/>
      <c r="EH87" s="34"/>
      <c r="EI87" s="34"/>
      <c r="EJ87" s="34"/>
      <c r="EK87" s="34"/>
      <c r="EL87" s="34"/>
      <c r="EM87" s="34"/>
      <c r="EN87" s="314"/>
      <c r="EO87" s="30"/>
      <c r="EP87" s="315"/>
      <c r="EQ87" s="315"/>
    </row>
    <row r="88" spans="1:147" s="29" customFormat="1" ht="15.75" customHeight="1" hidden="1" thickBot="1" thickTop="1">
      <c r="A88" s="143"/>
      <c r="B88" s="149">
        <f t="shared" si="98"/>
        <v>162</v>
      </c>
      <c r="C88" s="26">
        <f t="shared" si="94"/>
        <v>20731231</v>
      </c>
      <c r="D88" s="26" t="str">
        <f t="shared" si="10"/>
        <v>2073</v>
      </c>
      <c r="E88" s="26" t="str">
        <f t="shared" si="11"/>
        <v>12</v>
      </c>
      <c r="F88" s="26" t="str">
        <f t="shared" si="12"/>
        <v>31</v>
      </c>
      <c r="G88" s="300">
        <f t="shared" si="13"/>
        <v>63554</v>
      </c>
      <c r="H88" s="116">
        <f t="shared" si="0"/>
        <v>72</v>
      </c>
      <c r="I88" s="116">
        <f t="shared" si="14"/>
        <v>4</v>
      </c>
      <c r="J88" s="26">
        <f t="shared" si="111"/>
        <v>30</v>
      </c>
      <c r="K88" s="117">
        <f t="shared" si="15"/>
        <v>74</v>
      </c>
      <c r="L88" s="117">
        <f t="shared" si="16"/>
        <v>3</v>
      </c>
      <c r="M88" s="117">
        <f t="shared" si="17"/>
        <v>8</v>
      </c>
      <c r="N88" s="574" t="str">
        <f t="shared" si="99"/>
        <v>162.1.1~162.12.31</v>
      </c>
      <c r="O88" s="575"/>
      <c r="P88" s="575"/>
      <c r="Q88" s="576"/>
      <c r="R88" s="394">
        <v>60</v>
      </c>
      <c r="S88" s="391">
        <f t="shared" si="18"/>
        <v>104</v>
      </c>
      <c r="T88" s="392">
        <f t="shared" si="19"/>
        <v>74</v>
      </c>
      <c r="U88" s="393">
        <f t="shared" si="20"/>
        <v>178</v>
      </c>
      <c r="V88" s="148">
        <f t="shared" si="21"/>
      </c>
      <c r="W88" s="580">
        <f t="shared" si="120"/>
      </c>
      <c r="X88" s="581"/>
      <c r="Y88" s="581"/>
      <c r="Z88" s="582"/>
      <c r="AA88" s="249">
        <f t="shared" si="23"/>
      </c>
      <c r="AB88" s="248">
        <f t="shared" si="24"/>
      </c>
      <c r="AC88" s="330">
        <f t="shared" si="25"/>
      </c>
      <c r="AD88" s="102"/>
      <c r="AE88" s="118">
        <f t="shared" si="26"/>
        <v>0</v>
      </c>
      <c r="AF88" s="118">
        <f t="shared" si="27"/>
        <v>0</v>
      </c>
      <c r="AG88" s="118">
        <f t="shared" si="121"/>
        <v>1</v>
      </c>
      <c r="AH88" s="118">
        <f>IF(OR(AE88+AF88+AG88&gt;0,SUM($AE$30:AG87)&gt;0),1,0)</f>
        <v>1</v>
      </c>
      <c r="AI88" s="118">
        <f t="shared" si="29"/>
      </c>
      <c r="AJ88" s="118">
        <f t="shared" si="30"/>
      </c>
      <c r="AK88" s="118" t="str">
        <f t="shared" si="31"/>
        <v>符合「年齡滿65歲、年資滿15年」之擇領月退休金條件</v>
      </c>
      <c r="AL88" s="118" t="str">
        <f t="shared" si="112"/>
        <v>符合「年齡滿65歲、年資滿15年」之擇領月退休金條件</v>
      </c>
      <c r="AM88" s="119">
        <f t="shared" si="113"/>
        <v>0</v>
      </c>
      <c r="AN88" s="119">
        <f t="shared" si="114"/>
        <v>1</v>
      </c>
      <c r="AO88" s="119" t="str">
        <f t="shared" si="115"/>
        <v>符合</v>
      </c>
      <c r="AP88" s="119">
        <f t="shared" si="116"/>
        <v>104</v>
      </c>
      <c r="AQ88" s="119">
        <f t="shared" si="117"/>
        <v>20731231</v>
      </c>
      <c r="AR88" s="119" t="str">
        <f t="shared" si="118"/>
        <v>162.1.1~162.12.31</v>
      </c>
      <c r="AS88" s="120">
        <f t="shared" si="39"/>
      </c>
      <c r="AT88" s="121">
        <f t="shared" si="119"/>
      </c>
      <c r="AU88" s="121">
        <f t="shared" si="41"/>
        <v>1</v>
      </c>
      <c r="AV88" s="119">
        <f t="shared" si="42"/>
      </c>
      <c r="AW88" s="122">
        <f t="shared" si="43"/>
      </c>
      <c r="AX88" s="31">
        <f t="shared" si="44"/>
        <v>0</v>
      </c>
      <c r="AY88" s="7">
        <f t="shared" si="45"/>
        <v>1</v>
      </c>
      <c r="AZ88" s="123">
        <f t="shared" si="46"/>
        <v>1</v>
      </c>
      <c r="BA88" s="123">
        <f t="shared" si="47"/>
        <v>0</v>
      </c>
      <c r="BB88" s="123">
        <f t="shared" si="48"/>
      </c>
      <c r="BC88" s="33"/>
      <c r="BD88" s="33"/>
      <c r="BE88" s="33"/>
      <c r="BF88" s="33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4"/>
      <c r="BT88" s="34"/>
      <c r="BU88" s="34"/>
      <c r="BV88" s="34"/>
      <c r="BW88" s="179">
        <f t="shared" si="101"/>
        <v>23</v>
      </c>
      <c r="BX88" s="7">
        <f t="shared" si="102"/>
        <v>9</v>
      </c>
      <c r="BY88" s="20">
        <f t="shared" si="51"/>
        <v>162</v>
      </c>
      <c r="BZ88" s="2" t="str">
        <f t="shared" si="52"/>
        <v>162.2.5</v>
      </c>
      <c r="CA88" s="181">
        <f t="shared" si="53"/>
        <v>2</v>
      </c>
      <c r="CB88" s="2">
        <f t="shared" si="103"/>
        <v>5</v>
      </c>
      <c r="CC88" s="2" t="str">
        <f t="shared" si="54"/>
        <v>162.9.28</v>
      </c>
      <c r="CD88" s="181">
        <f t="shared" si="95"/>
        <v>9</v>
      </c>
      <c r="CE88" s="2">
        <f t="shared" si="96"/>
        <v>28</v>
      </c>
      <c r="CF88" s="2" t="str">
        <f t="shared" si="104"/>
        <v>生日</v>
      </c>
      <c r="CG88" s="2" t="str">
        <f t="shared" si="105"/>
        <v>162.2.5</v>
      </c>
      <c r="CH88" s="2">
        <f t="shared" si="106"/>
        <v>2</v>
      </c>
      <c r="CI88" s="2" t="str">
        <f t="shared" si="107"/>
        <v>初任</v>
      </c>
      <c r="CJ88" s="2" t="str">
        <f t="shared" si="108"/>
        <v>162.9.28</v>
      </c>
      <c r="CK88" s="2">
        <f t="shared" si="109"/>
        <v>9</v>
      </c>
      <c r="CL88" s="2">
        <f t="shared" si="110"/>
        <v>0</v>
      </c>
      <c r="CM88" s="339">
        <f t="shared" si="62"/>
      </c>
      <c r="CN88" s="2">
        <f t="shared" si="63"/>
      </c>
      <c r="CO88" s="2">
        <f t="shared" si="64"/>
      </c>
      <c r="CP88" s="2">
        <f t="shared" si="65"/>
      </c>
      <c r="CQ88" s="2">
        <f t="shared" si="66"/>
      </c>
      <c r="CR88" s="2">
        <f t="shared" si="7"/>
      </c>
      <c r="CS88" s="128">
        <f t="shared" si="8"/>
      </c>
      <c r="CT88" s="2">
        <f t="shared" si="67"/>
      </c>
      <c r="CU88" s="2">
        <f t="shared" si="68"/>
      </c>
      <c r="CV88" s="128">
        <f t="shared" si="69"/>
      </c>
      <c r="CW88" s="2" t="str">
        <f t="shared" si="97"/>
        <v>162.1.1</v>
      </c>
      <c r="CX88" s="2">
        <f t="shared" si="70"/>
        <v>1</v>
      </c>
      <c r="CY88" s="128" t="str">
        <f t="shared" si="71"/>
        <v>162.2.1。【說明：原實際條件成就時間為162.1.1，惟因必須配合學期而延至當學期結束之次日，始能退休生效，爰推算為162.2.1】</v>
      </c>
      <c r="CZ88" s="2">
        <f t="shared" si="72"/>
      </c>
      <c r="DA88" s="2">
        <f t="shared" si="73"/>
      </c>
      <c r="DB88" s="128">
        <f t="shared" si="74"/>
      </c>
      <c r="DC88" s="2">
        <f t="shared" si="75"/>
      </c>
      <c r="DD88" s="2">
        <f t="shared" si="76"/>
      </c>
      <c r="DE88" s="128">
        <f t="shared" si="77"/>
      </c>
      <c r="DF88" s="2"/>
      <c r="DG88" s="2"/>
      <c r="DH88" s="128"/>
      <c r="DI88" s="2">
        <f t="shared" si="78"/>
      </c>
      <c r="DJ88" s="2">
        <f t="shared" si="79"/>
      </c>
      <c r="DK88" s="128">
        <f t="shared" si="80"/>
      </c>
      <c r="DL88" s="128"/>
      <c r="DM88" s="21" t="str">
        <f t="shared" si="81"/>
        <v>162.2.1。【說明：原實際條件成就時間為162.1.1，惟因必須配合學期而延至當學期結束之次日，始能退休生效，爰推算為162.2.1】</v>
      </c>
      <c r="DN88" s="2" t="str">
        <f t="shared" si="82"/>
        <v>162.1.1</v>
      </c>
      <c r="DO88" s="2"/>
      <c r="DP88" s="2"/>
      <c r="DQ88" s="2"/>
      <c r="DR88" s="2"/>
      <c r="DS88" s="2"/>
      <c r="DT88" s="2"/>
      <c r="DU88" s="2"/>
      <c r="DV88" s="10"/>
      <c r="DW88" s="2">
        <f t="shared" si="83"/>
        <v>162</v>
      </c>
      <c r="DX88" s="2" t="str">
        <f t="shared" si="84"/>
        <v>◆但@*%#...喔麥尬～上開生效日期已逾121年底的過渡期，仍否再適用指標數規定，恐有疑義！</v>
      </c>
      <c r="DY88" s="34"/>
      <c r="DZ88" s="7">
        <f t="shared" si="85"/>
        <v>1</v>
      </c>
      <c r="EA88" s="123">
        <f t="shared" si="86"/>
        <v>0</v>
      </c>
      <c r="EB88" s="211">
        <f t="shared" si="87"/>
      </c>
      <c r="EC88" s="210">
        <f t="shared" si="88"/>
      </c>
      <c r="ED88" s="210" t="e">
        <f t="shared" si="89"/>
        <v>#VALUE!</v>
      </c>
      <c r="EE88" s="34"/>
      <c r="EF88" s="34"/>
      <c r="EG88" s="34"/>
      <c r="EH88" s="34"/>
      <c r="EI88" s="34"/>
      <c r="EJ88" s="34"/>
      <c r="EK88" s="34"/>
      <c r="EL88" s="34"/>
      <c r="EM88" s="34"/>
      <c r="EN88" s="314"/>
      <c r="EO88" s="30"/>
      <c r="EP88" s="315"/>
      <c r="EQ88" s="315"/>
    </row>
    <row r="89" spans="1:147" s="29" customFormat="1" ht="15.75" customHeight="1" hidden="1" thickBot="1" thickTop="1">
      <c r="A89" s="143"/>
      <c r="B89" s="149">
        <f t="shared" si="98"/>
        <v>163</v>
      </c>
      <c r="C89" s="26">
        <f t="shared" si="94"/>
        <v>20741231</v>
      </c>
      <c r="D89" s="26" t="str">
        <f t="shared" si="10"/>
        <v>2074</v>
      </c>
      <c r="E89" s="26" t="str">
        <f t="shared" si="11"/>
        <v>12</v>
      </c>
      <c r="F89" s="26" t="str">
        <f t="shared" si="12"/>
        <v>31</v>
      </c>
      <c r="G89" s="300">
        <f t="shared" si="13"/>
        <v>63919</v>
      </c>
      <c r="H89" s="116">
        <f t="shared" si="0"/>
        <v>73</v>
      </c>
      <c r="I89" s="116">
        <f t="shared" si="14"/>
        <v>4</v>
      </c>
      <c r="J89" s="26">
        <f t="shared" si="111"/>
        <v>30</v>
      </c>
      <c r="K89" s="117">
        <f t="shared" si="15"/>
        <v>75</v>
      </c>
      <c r="L89" s="117">
        <f t="shared" si="16"/>
        <v>3</v>
      </c>
      <c r="M89" s="117">
        <f t="shared" si="17"/>
        <v>8</v>
      </c>
      <c r="N89" s="574" t="str">
        <f t="shared" si="99"/>
        <v>163.1.1~163.12.31</v>
      </c>
      <c r="O89" s="575"/>
      <c r="P89" s="575"/>
      <c r="Q89" s="576"/>
      <c r="R89" s="394">
        <v>60</v>
      </c>
      <c r="S89" s="391">
        <f t="shared" si="18"/>
        <v>105</v>
      </c>
      <c r="T89" s="392">
        <f t="shared" si="19"/>
        <v>75</v>
      </c>
      <c r="U89" s="393">
        <f t="shared" si="20"/>
        <v>180</v>
      </c>
      <c r="V89" s="148">
        <f t="shared" si="21"/>
      </c>
      <c r="W89" s="580">
        <f t="shared" si="120"/>
      </c>
      <c r="X89" s="581"/>
      <c r="Y89" s="581"/>
      <c r="Z89" s="582"/>
      <c r="AA89" s="249">
        <f t="shared" si="23"/>
      </c>
      <c r="AB89" s="248">
        <f t="shared" si="24"/>
      </c>
      <c r="AC89" s="330">
        <f t="shared" si="25"/>
      </c>
      <c r="AD89" s="102"/>
      <c r="AE89" s="118">
        <f t="shared" si="26"/>
        <v>0</v>
      </c>
      <c r="AF89" s="118">
        <f t="shared" si="27"/>
        <v>0</v>
      </c>
      <c r="AG89" s="118">
        <f t="shared" si="121"/>
        <v>1</v>
      </c>
      <c r="AH89" s="118">
        <f>IF(OR(AE89+AF89+AG89&gt;0,SUM($AE$30:AG88)&gt;0),1,0)</f>
        <v>1</v>
      </c>
      <c r="AI89" s="118">
        <f t="shared" si="29"/>
      </c>
      <c r="AJ89" s="118">
        <f t="shared" si="30"/>
      </c>
      <c r="AK89" s="118" t="str">
        <f t="shared" si="31"/>
        <v>符合「年齡滿65歲、年資滿15年」之擇領月退休金條件</v>
      </c>
      <c r="AL89" s="118" t="str">
        <f t="shared" si="112"/>
        <v>符合「年齡滿65歲、年資滿15年」之擇領月退休金條件</v>
      </c>
      <c r="AM89" s="119">
        <f t="shared" si="113"/>
        <v>0</v>
      </c>
      <c r="AN89" s="119">
        <f t="shared" si="114"/>
        <v>1</v>
      </c>
      <c r="AO89" s="119" t="str">
        <f t="shared" si="115"/>
        <v>符合</v>
      </c>
      <c r="AP89" s="119">
        <f t="shared" si="116"/>
        <v>105</v>
      </c>
      <c r="AQ89" s="119">
        <f t="shared" si="117"/>
        <v>20741231</v>
      </c>
      <c r="AR89" s="119" t="str">
        <f t="shared" si="118"/>
        <v>163.1.1~163.12.31</v>
      </c>
      <c r="AS89" s="120">
        <f t="shared" si="39"/>
      </c>
      <c r="AT89" s="121">
        <f t="shared" si="119"/>
      </c>
      <c r="AU89" s="121">
        <f t="shared" si="41"/>
        <v>1</v>
      </c>
      <c r="AV89" s="119">
        <f t="shared" si="42"/>
      </c>
      <c r="AW89" s="122">
        <f t="shared" si="43"/>
      </c>
      <c r="AX89" s="31">
        <f t="shared" si="44"/>
        <v>0</v>
      </c>
      <c r="AY89" s="7">
        <f t="shared" si="45"/>
        <v>1</v>
      </c>
      <c r="AZ89" s="123">
        <f t="shared" si="46"/>
        <v>1</v>
      </c>
      <c r="BA89" s="123">
        <f t="shared" si="47"/>
        <v>0</v>
      </c>
      <c r="BB89" s="123">
        <f t="shared" si="48"/>
      </c>
      <c r="BC89" s="33"/>
      <c r="BD89" s="33"/>
      <c r="BE89" s="33"/>
      <c r="BF89" s="33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4"/>
      <c r="BT89" s="34"/>
      <c r="BU89" s="34"/>
      <c r="BV89" s="34"/>
      <c r="BW89" s="179">
        <f t="shared" si="101"/>
        <v>23</v>
      </c>
      <c r="BX89" s="7">
        <f t="shared" si="102"/>
        <v>9</v>
      </c>
      <c r="BY89" s="20">
        <f t="shared" si="51"/>
        <v>163</v>
      </c>
      <c r="BZ89" s="2" t="str">
        <f t="shared" si="52"/>
        <v>163.2.5</v>
      </c>
      <c r="CA89" s="181">
        <f t="shared" si="53"/>
        <v>2</v>
      </c>
      <c r="CB89" s="2">
        <f t="shared" si="103"/>
        <v>5</v>
      </c>
      <c r="CC89" s="2" t="str">
        <f t="shared" si="54"/>
        <v>163.9.28</v>
      </c>
      <c r="CD89" s="181">
        <f t="shared" si="95"/>
        <v>9</v>
      </c>
      <c r="CE89" s="2">
        <f t="shared" si="96"/>
        <v>28</v>
      </c>
      <c r="CF89" s="2" t="str">
        <f t="shared" si="104"/>
        <v>生日</v>
      </c>
      <c r="CG89" s="2" t="str">
        <f t="shared" si="105"/>
        <v>163.2.5</v>
      </c>
      <c r="CH89" s="2">
        <f t="shared" si="106"/>
        <v>2</v>
      </c>
      <c r="CI89" s="2" t="str">
        <f t="shared" si="107"/>
        <v>初任</v>
      </c>
      <c r="CJ89" s="2" t="str">
        <f t="shared" si="108"/>
        <v>163.9.28</v>
      </c>
      <c r="CK89" s="2">
        <f t="shared" si="109"/>
        <v>9</v>
      </c>
      <c r="CL89" s="2">
        <f t="shared" si="110"/>
        <v>0</v>
      </c>
      <c r="CM89" s="339">
        <f t="shared" si="62"/>
      </c>
      <c r="CN89" s="2">
        <f t="shared" si="63"/>
      </c>
      <c r="CO89" s="2">
        <f t="shared" si="64"/>
      </c>
      <c r="CP89" s="2">
        <f t="shared" si="65"/>
      </c>
      <c r="CQ89" s="2">
        <f t="shared" si="66"/>
      </c>
      <c r="CR89" s="2">
        <f t="shared" si="7"/>
      </c>
      <c r="CS89" s="128">
        <f t="shared" si="8"/>
      </c>
      <c r="CT89" s="2">
        <f t="shared" si="67"/>
      </c>
      <c r="CU89" s="2">
        <f t="shared" si="68"/>
      </c>
      <c r="CV89" s="128">
        <f t="shared" si="69"/>
      </c>
      <c r="CW89" s="2" t="str">
        <f t="shared" si="97"/>
        <v>163.1.1</v>
      </c>
      <c r="CX89" s="2">
        <f t="shared" si="70"/>
        <v>1</v>
      </c>
      <c r="CY89" s="128" t="str">
        <f t="shared" si="71"/>
        <v>163.2.1。【說明：原實際條件成就時間為163.1.1，惟因必須配合學期而延至當學期結束之次日，始能退休生效，爰推算為163.2.1】</v>
      </c>
      <c r="CZ89" s="2">
        <f t="shared" si="72"/>
      </c>
      <c r="DA89" s="2">
        <f t="shared" si="73"/>
      </c>
      <c r="DB89" s="128">
        <f t="shared" si="74"/>
      </c>
      <c r="DC89" s="2">
        <f t="shared" si="75"/>
      </c>
      <c r="DD89" s="2">
        <f t="shared" si="76"/>
      </c>
      <c r="DE89" s="128">
        <f t="shared" si="77"/>
      </c>
      <c r="DF89" s="2"/>
      <c r="DG89" s="2"/>
      <c r="DH89" s="128"/>
      <c r="DI89" s="2">
        <f t="shared" si="78"/>
      </c>
      <c r="DJ89" s="2">
        <f t="shared" si="79"/>
      </c>
      <c r="DK89" s="128">
        <f t="shared" si="80"/>
      </c>
      <c r="DL89" s="128"/>
      <c r="DM89" s="21" t="str">
        <f t="shared" si="81"/>
        <v>163.2.1。【說明：原實際條件成就時間為163.1.1，惟因必須配合學期而延至當學期結束之次日，始能退休生效，爰推算為163.2.1】</v>
      </c>
      <c r="DN89" s="2" t="str">
        <f t="shared" si="82"/>
        <v>163.1.1</v>
      </c>
      <c r="DO89" s="2"/>
      <c r="DP89" s="2"/>
      <c r="DQ89" s="2"/>
      <c r="DR89" s="2"/>
      <c r="DS89" s="2"/>
      <c r="DT89" s="2"/>
      <c r="DU89" s="2"/>
      <c r="DV89" s="10"/>
      <c r="DW89" s="2">
        <f t="shared" si="83"/>
        <v>163</v>
      </c>
      <c r="DX89" s="2" t="str">
        <f t="shared" si="84"/>
        <v>◆但@*%#...喔麥尬～上開生效日期已逾121年底的過渡期，仍否再適用指標數規定，恐有疑義！</v>
      </c>
      <c r="DY89" s="34"/>
      <c r="DZ89" s="7">
        <f t="shared" si="85"/>
        <v>1</v>
      </c>
      <c r="EA89" s="123">
        <f t="shared" si="86"/>
        <v>0</v>
      </c>
      <c r="EB89" s="211">
        <f t="shared" si="87"/>
      </c>
      <c r="EC89" s="210">
        <f t="shared" si="88"/>
      </c>
      <c r="ED89" s="210" t="e">
        <f t="shared" si="89"/>
        <v>#VALUE!</v>
      </c>
      <c r="EE89" s="34"/>
      <c r="EF89" s="34"/>
      <c r="EG89" s="34"/>
      <c r="EH89" s="34"/>
      <c r="EI89" s="34"/>
      <c r="EJ89" s="34"/>
      <c r="EK89" s="34"/>
      <c r="EL89" s="34"/>
      <c r="EM89" s="34"/>
      <c r="EN89" s="314"/>
      <c r="EO89" s="30"/>
      <c r="EP89" s="315"/>
      <c r="EQ89" s="315"/>
    </row>
    <row r="90" spans="1:147" s="29" customFormat="1" ht="15.75" customHeight="1" hidden="1" thickBot="1" thickTop="1">
      <c r="A90" s="143"/>
      <c r="B90" s="149">
        <f t="shared" si="98"/>
        <v>164</v>
      </c>
      <c r="C90" s="26">
        <f t="shared" si="94"/>
        <v>20751231</v>
      </c>
      <c r="D90" s="26" t="str">
        <f t="shared" si="10"/>
        <v>2075</v>
      </c>
      <c r="E90" s="26" t="str">
        <f t="shared" si="11"/>
        <v>12</v>
      </c>
      <c r="F90" s="26" t="str">
        <f t="shared" si="12"/>
        <v>31</v>
      </c>
      <c r="G90" s="300">
        <f t="shared" si="13"/>
        <v>64284</v>
      </c>
      <c r="H90" s="116">
        <f t="shared" si="0"/>
        <v>74</v>
      </c>
      <c r="I90" s="116">
        <f t="shared" si="14"/>
        <v>4</v>
      </c>
      <c r="J90" s="26">
        <f t="shared" si="111"/>
        <v>30</v>
      </c>
      <c r="K90" s="117">
        <f t="shared" si="15"/>
        <v>76</v>
      </c>
      <c r="L90" s="117">
        <f t="shared" si="16"/>
        <v>3</v>
      </c>
      <c r="M90" s="117">
        <f t="shared" si="17"/>
        <v>8</v>
      </c>
      <c r="N90" s="574" t="str">
        <f t="shared" si="99"/>
        <v>164.1.1~164.12.31</v>
      </c>
      <c r="O90" s="575"/>
      <c r="P90" s="575"/>
      <c r="Q90" s="576"/>
      <c r="R90" s="394">
        <v>60</v>
      </c>
      <c r="S90" s="391">
        <f t="shared" si="18"/>
        <v>106</v>
      </c>
      <c r="T90" s="392">
        <f t="shared" si="19"/>
        <v>76</v>
      </c>
      <c r="U90" s="393">
        <f t="shared" si="20"/>
        <v>182</v>
      </c>
      <c r="V90" s="148">
        <f t="shared" si="21"/>
      </c>
      <c r="W90" s="580">
        <f t="shared" si="120"/>
      </c>
      <c r="X90" s="581"/>
      <c r="Y90" s="581"/>
      <c r="Z90" s="582"/>
      <c r="AA90" s="249">
        <f t="shared" si="23"/>
      </c>
      <c r="AB90" s="248">
        <f t="shared" si="24"/>
      </c>
      <c r="AC90" s="330">
        <f t="shared" si="25"/>
      </c>
      <c r="AD90" s="102"/>
      <c r="AE90" s="118">
        <f t="shared" si="26"/>
        <v>0</v>
      </c>
      <c r="AF90" s="118">
        <f t="shared" si="27"/>
        <v>0</v>
      </c>
      <c r="AG90" s="118">
        <f t="shared" si="121"/>
        <v>1</v>
      </c>
      <c r="AH90" s="118">
        <f>IF(OR(AE90+AF90+AG90&gt;0,SUM($AE$30:AG89)&gt;0),1,0)</f>
        <v>1</v>
      </c>
      <c r="AI90" s="118">
        <f t="shared" si="29"/>
      </c>
      <c r="AJ90" s="118">
        <f t="shared" si="30"/>
      </c>
      <c r="AK90" s="118" t="str">
        <f t="shared" si="31"/>
        <v>符合「年齡滿65歲、年資滿15年」之擇領月退休金條件</v>
      </c>
      <c r="AL90" s="118" t="str">
        <f t="shared" si="112"/>
        <v>符合「年齡滿65歲、年資滿15年」之擇領月退休金條件</v>
      </c>
      <c r="AM90" s="119">
        <f t="shared" si="113"/>
        <v>0</v>
      </c>
      <c r="AN90" s="119">
        <f t="shared" si="114"/>
        <v>1</v>
      </c>
      <c r="AO90" s="119" t="str">
        <f t="shared" si="115"/>
        <v>符合</v>
      </c>
      <c r="AP90" s="119">
        <f t="shared" si="116"/>
        <v>106</v>
      </c>
      <c r="AQ90" s="119">
        <f t="shared" si="117"/>
        <v>20751231</v>
      </c>
      <c r="AR90" s="119" t="str">
        <f t="shared" si="118"/>
        <v>164.1.1~164.12.31</v>
      </c>
      <c r="AS90" s="120">
        <f t="shared" si="39"/>
      </c>
      <c r="AT90" s="121">
        <f t="shared" si="119"/>
      </c>
      <c r="AU90" s="121">
        <f t="shared" si="41"/>
        <v>1</v>
      </c>
      <c r="AV90" s="119">
        <f t="shared" si="42"/>
      </c>
      <c r="AW90" s="122">
        <f t="shared" si="43"/>
      </c>
      <c r="AX90" s="31">
        <f t="shared" si="44"/>
        <v>0</v>
      </c>
      <c r="AY90" s="7">
        <f t="shared" si="45"/>
        <v>1</v>
      </c>
      <c r="AZ90" s="123">
        <f t="shared" si="46"/>
        <v>1</v>
      </c>
      <c r="BA90" s="123">
        <f t="shared" si="47"/>
        <v>0</v>
      </c>
      <c r="BB90" s="123">
        <f t="shared" si="48"/>
      </c>
      <c r="BC90" s="33"/>
      <c r="BD90" s="33"/>
      <c r="BE90" s="33"/>
      <c r="BF90" s="33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4"/>
      <c r="BT90" s="34"/>
      <c r="BU90" s="34"/>
      <c r="BV90" s="34"/>
      <c r="BW90" s="179">
        <f t="shared" si="101"/>
        <v>23</v>
      </c>
      <c r="BX90" s="7">
        <f t="shared" si="102"/>
        <v>9</v>
      </c>
      <c r="BY90" s="20">
        <f t="shared" si="51"/>
        <v>164</v>
      </c>
      <c r="BZ90" s="2" t="str">
        <f t="shared" si="52"/>
        <v>164.2.5</v>
      </c>
      <c r="CA90" s="181">
        <f t="shared" si="53"/>
        <v>2</v>
      </c>
      <c r="CB90" s="2">
        <f t="shared" si="103"/>
        <v>5</v>
      </c>
      <c r="CC90" s="2" t="str">
        <f t="shared" si="54"/>
        <v>164.9.28</v>
      </c>
      <c r="CD90" s="181">
        <f t="shared" si="95"/>
        <v>9</v>
      </c>
      <c r="CE90" s="2">
        <f t="shared" si="96"/>
        <v>28</v>
      </c>
      <c r="CF90" s="2" t="str">
        <f t="shared" si="104"/>
        <v>生日</v>
      </c>
      <c r="CG90" s="2" t="str">
        <f t="shared" si="105"/>
        <v>164.2.5</v>
      </c>
      <c r="CH90" s="2">
        <f t="shared" si="106"/>
        <v>2</v>
      </c>
      <c r="CI90" s="2" t="str">
        <f t="shared" si="107"/>
        <v>初任</v>
      </c>
      <c r="CJ90" s="2" t="str">
        <f t="shared" si="108"/>
        <v>164.9.28</v>
      </c>
      <c r="CK90" s="2">
        <f t="shared" si="109"/>
        <v>9</v>
      </c>
      <c r="CL90" s="2">
        <f t="shared" si="110"/>
        <v>0</v>
      </c>
      <c r="CM90" s="339">
        <f t="shared" si="62"/>
      </c>
      <c r="CN90" s="2">
        <f t="shared" si="63"/>
      </c>
      <c r="CO90" s="2">
        <f t="shared" si="64"/>
      </c>
      <c r="CP90" s="2">
        <f t="shared" si="65"/>
      </c>
      <c r="CQ90" s="2">
        <f t="shared" si="66"/>
      </c>
      <c r="CR90" s="2">
        <f t="shared" si="7"/>
      </c>
      <c r="CS90" s="128">
        <f t="shared" si="8"/>
      </c>
      <c r="CT90" s="2">
        <f t="shared" si="67"/>
      </c>
      <c r="CU90" s="2">
        <f t="shared" si="68"/>
      </c>
      <c r="CV90" s="128">
        <f t="shared" si="69"/>
      </c>
      <c r="CW90" s="2" t="str">
        <f t="shared" si="97"/>
        <v>164.1.1</v>
      </c>
      <c r="CX90" s="2">
        <f t="shared" si="70"/>
        <v>1</v>
      </c>
      <c r="CY90" s="128" t="str">
        <f t="shared" si="71"/>
        <v>164.2.1。【說明：原實際條件成就時間為164.1.1，惟因必須配合學期而延至當學期結束之次日，始能退休生效，爰推算為164.2.1】</v>
      </c>
      <c r="CZ90" s="2">
        <f t="shared" si="72"/>
      </c>
      <c r="DA90" s="2">
        <f t="shared" si="73"/>
      </c>
      <c r="DB90" s="128">
        <f t="shared" si="74"/>
      </c>
      <c r="DC90" s="2">
        <f t="shared" si="75"/>
      </c>
      <c r="DD90" s="2">
        <f t="shared" si="76"/>
      </c>
      <c r="DE90" s="128">
        <f t="shared" si="77"/>
      </c>
      <c r="DF90" s="2"/>
      <c r="DG90" s="2"/>
      <c r="DH90" s="128"/>
      <c r="DI90" s="2">
        <f t="shared" si="78"/>
      </c>
      <c r="DJ90" s="2">
        <f t="shared" si="79"/>
      </c>
      <c r="DK90" s="128">
        <f t="shared" si="80"/>
      </c>
      <c r="DL90" s="128"/>
      <c r="DM90" s="21" t="str">
        <f t="shared" si="81"/>
        <v>164.2.1。【說明：原實際條件成就時間為164.1.1，惟因必須配合學期而延至當學期結束之次日，始能退休生效，爰推算為164.2.1】</v>
      </c>
      <c r="DN90" s="2" t="str">
        <f t="shared" si="82"/>
        <v>164.1.1</v>
      </c>
      <c r="DO90" s="2"/>
      <c r="DP90" s="2"/>
      <c r="DQ90" s="2"/>
      <c r="DR90" s="2"/>
      <c r="DS90" s="2"/>
      <c r="DT90" s="2"/>
      <c r="DU90" s="2"/>
      <c r="DV90" s="10"/>
      <c r="DW90" s="2">
        <f t="shared" si="83"/>
        <v>164</v>
      </c>
      <c r="DX90" s="2" t="str">
        <f t="shared" si="84"/>
        <v>◆但@*%#...喔麥尬～上開生效日期已逾121年底的過渡期，仍否再適用指標數規定，恐有疑義！</v>
      </c>
      <c r="DY90" s="34"/>
      <c r="DZ90" s="7">
        <f t="shared" si="85"/>
        <v>1</v>
      </c>
      <c r="EA90" s="123">
        <f t="shared" si="86"/>
        <v>0</v>
      </c>
      <c r="EB90" s="211">
        <f t="shared" si="87"/>
      </c>
      <c r="EC90" s="210">
        <f t="shared" si="88"/>
      </c>
      <c r="ED90" s="210" t="e">
        <f t="shared" si="89"/>
        <v>#VALUE!</v>
      </c>
      <c r="EE90" s="34"/>
      <c r="EF90" s="34"/>
      <c r="EG90" s="34"/>
      <c r="EH90" s="34"/>
      <c r="EI90" s="34"/>
      <c r="EJ90" s="34"/>
      <c r="EK90" s="34"/>
      <c r="EL90" s="34"/>
      <c r="EM90" s="34"/>
      <c r="EN90" s="314"/>
      <c r="EO90" s="30"/>
      <c r="EP90" s="315"/>
      <c r="EQ90" s="315"/>
    </row>
    <row r="91" spans="1:147" s="29" customFormat="1" ht="15.75" customHeight="1" hidden="1" thickBot="1" thickTop="1">
      <c r="A91" s="143"/>
      <c r="B91" s="149">
        <f t="shared" si="98"/>
        <v>165</v>
      </c>
      <c r="C91" s="26">
        <f t="shared" si="94"/>
        <v>20761231</v>
      </c>
      <c r="D91" s="26" t="str">
        <f t="shared" si="10"/>
        <v>2076</v>
      </c>
      <c r="E91" s="26" t="str">
        <f t="shared" si="11"/>
        <v>12</v>
      </c>
      <c r="F91" s="26" t="str">
        <f t="shared" si="12"/>
        <v>31</v>
      </c>
      <c r="G91" s="300">
        <f t="shared" si="13"/>
        <v>64650</v>
      </c>
      <c r="H91" s="116">
        <f t="shared" si="0"/>
        <v>75</v>
      </c>
      <c r="I91" s="116">
        <f t="shared" si="14"/>
        <v>4</v>
      </c>
      <c r="J91" s="26">
        <f t="shared" si="111"/>
        <v>30</v>
      </c>
      <c r="K91" s="117">
        <f t="shared" si="15"/>
        <v>77</v>
      </c>
      <c r="L91" s="117">
        <f t="shared" si="16"/>
        <v>3</v>
      </c>
      <c r="M91" s="117">
        <f t="shared" si="17"/>
        <v>8</v>
      </c>
      <c r="N91" s="574" t="str">
        <f t="shared" si="99"/>
        <v>165.1.1~165.12.31</v>
      </c>
      <c r="O91" s="575"/>
      <c r="P91" s="575"/>
      <c r="Q91" s="576"/>
      <c r="R91" s="394">
        <v>60</v>
      </c>
      <c r="S91" s="391">
        <f t="shared" si="18"/>
        <v>107</v>
      </c>
      <c r="T91" s="392">
        <f t="shared" si="19"/>
        <v>77</v>
      </c>
      <c r="U91" s="393">
        <f t="shared" si="20"/>
        <v>184</v>
      </c>
      <c r="V91" s="148">
        <f t="shared" si="21"/>
      </c>
      <c r="W91" s="580">
        <f t="shared" si="120"/>
      </c>
      <c r="X91" s="581"/>
      <c r="Y91" s="581"/>
      <c r="Z91" s="582"/>
      <c r="AA91" s="249">
        <f t="shared" si="23"/>
      </c>
      <c r="AB91" s="248">
        <f t="shared" si="24"/>
      </c>
      <c r="AC91" s="330">
        <f t="shared" si="25"/>
      </c>
      <c r="AD91" s="102"/>
      <c r="AE91" s="118">
        <f t="shared" si="26"/>
        <v>0</v>
      </c>
      <c r="AF91" s="118">
        <f t="shared" si="27"/>
        <v>0</v>
      </c>
      <c r="AG91" s="118">
        <f t="shared" si="121"/>
        <v>1</v>
      </c>
      <c r="AH91" s="118">
        <f>IF(OR(AE91+AF91+AG91&gt;0,SUM($AE$30:AG90)&gt;0),1,0)</f>
        <v>1</v>
      </c>
      <c r="AI91" s="118">
        <f t="shared" si="29"/>
      </c>
      <c r="AJ91" s="118">
        <f t="shared" si="30"/>
      </c>
      <c r="AK91" s="118" t="str">
        <f t="shared" si="31"/>
        <v>符合「年齡滿65歲、年資滿15年」之擇領月退休金條件</v>
      </c>
      <c r="AL91" s="118" t="str">
        <f t="shared" si="112"/>
        <v>符合「年齡滿65歲、年資滿15年」之擇領月退休金條件</v>
      </c>
      <c r="AM91" s="119">
        <f t="shared" si="113"/>
        <v>0</v>
      </c>
      <c r="AN91" s="119">
        <f t="shared" si="114"/>
        <v>1</v>
      </c>
      <c r="AO91" s="119" t="str">
        <f t="shared" si="115"/>
        <v>符合</v>
      </c>
      <c r="AP91" s="119">
        <f t="shared" si="116"/>
        <v>107</v>
      </c>
      <c r="AQ91" s="119">
        <f t="shared" si="117"/>
        <v>20761231</v>
      </c>
      <c r="AR91" s="119" t="str">
        <f t="shared" si="118"/>
        <v>165.1.1~165.12.31</v>
      </c>
      <c r="AS91" s="120">
        <f t="shared" si="39"/>
      </c>
      <c r="AT91" s="121">
        <f t="shared" si="119"/>
      </c>
      <c r="AU91" s="121">
        <f t="shared" si="41"/>
        <v>1</v>
      </c>
      <c r="AV91" s="119">
        <f t="shared" si="42"/>
      </c>
      <c r="AW91" s="122">
        <f t="shared" si="43"/>
      </c>
      <c r="AX91" s="31">
        <f t="shared" si="44"/>
        <v>0</v>
      </c>
      <c r="AY91" s="7">
        <f t="shared" si="45"/>
        <v>1</v>
      </c>
      <c r="AZ91" s="123">
        <f t="shared" si="46"/>
        <v>1</v>
      </c>
      <c r="BA91" s="123">
        <f t="shared" si="47"/>
        <v>0</v>
      </c>
      <c r="BB91" s="123">
        <f t="shared" si="48"/>
      </c>
      <c r="BC91" s="33"/>
      <c r="BD91" s="33"/>
      <c r="BE91" s="33"/>
      <c r="BF91" s="33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4"/>
      <c r="BT91" s="34"/>
      <c r="BU91" s="34"/>
      <c r="BV91" s="34"/>
      <c r="BW91" s="179">
        <f t="shared" si="101"/>
        <v>23</v>
      </c>
      <c r="BX91" s="7">
        <f t="shared" si="102"/>
        <v>9</v>
      </c>
      <c r="BY91" s="20">
        <f t="shared" si="51"/>
        <v>165</v>
      </c>
      <c r="BZ91" s="2" t="str">
        <f t="shared" si="52"/>
        <v>165.2.5</v>
      </c>
      <c r="CA91" s="181">
        <f t="shared" si="53"/>
        <v>2</v>
      </c>
      <c r="CB91" s="2">
        <f t="shared" si="103"/>
        <v>5</v>
      </c>
      <c r="CC91" s="2" t="str">
        <f t="shared" si="54"/>
        <v>165.9.28</v>
      </c>
      <c r="CD91" s="181">
        <f t="shared" si="95"/>
        <v>9</v>
      </c>
      <c r="CE91" s="2">
        <f t="shared" si="96"/>
        <v>28</v>
      </c>
      <c r="CF91" s="2" t="str">
        <f t="shared" si="104"/>
        <v>生日</v>
      </c>
      <c r="CG91" s="2" t="str">
        <f t="shared" si="105"/>
        <v>165.2.5</v>
      </c>
      <c r="CH91" s="2">
        <f t="shared" si="106"/>
        <v>2</v>
      </c>
      <c r="CI91" s="2" t="str">
        <f t="shared" si="107"/>
        <v>初任</v>
      </c>
      <c r="CJ91" s="2" t="str">
        <f t="shared" si="108"/>
        <v>165.9.28</v>
      </c>
      <c r="CK91" s="2">
        <f t="shared" si="109"/>
        <v>9</v>
      </c>
      <c r="CL91" s="2">
        <f t="shared" si="110"/>
        <v>0</v>
      </c>
      <c r="CM91" s="339">
        <f t="shared" si="62"/>
      </c>
      <c r="CN91" s="2">
        <f t="shared" si="63"/>
      </c>
      <c r="CO91" s="2">
        <f t="shared" si="64"/>
      </c>
      <c r="CP91" s="2">
        <f t="shared" si="65"/>
      </c>
      <c r="CQ91" s="2">
        <f t="shared" si="66"/>
      </c>
      <c r="CR91" s="2">
        <f t="shared" si="7"/>
      </c>
      <c r="CS91" s="128">
        <f t="shared" si="8"/>
      </c>
      <c r="CT91" s="2">
        <f t="shared" si="67"/>
      </c>
      <c r="CU91" s="2">
        <f t="shared" si="68"/>
      </c>
      <c r="CV91" s="128">
        <f t="shared" si="69"/>
      </c>
      <c r="CW91" s="2" t="str">
        <f t="shared" si="97"/>
        <v>165.1.1</v>
      </c>
      <c r="CX91" s="2">
        <f t="shared" si="70"/>
        <v>1</v>
      </c>
      <c r="CY91" s="128" t="str">
        <f t="shared" si="71"/>
        <v>165.2.1。【說明：原實際條件成就時間為165.1.1，惟因必須配合學期而延至當學期結束之次日，始能退休生效，爰推算為165.2.1】</v>
      </c>
      <c r="CZ91" s="2">
        <f t="shared" si="72"/>
      </c>
      <c r="DA91" s="2">
        <f t="shared" si="73"/>
      </c>
      <c r="DB91" s="128">
        <f t="shared" si="74"/>
      </c>
      <c r="DC91" s="2">
        <f t="shared" si="75"/>
      </c>
      <c r="DD91" s="2">
        <f t="shared" si="76"/>
      </c>
      <c r="DE91" s="128">
        <f t="shared" si="77"/>
      </c>
      <c r="DF91" s="2"/>
      <c r="DG91" s="2"/>
      <c r="DH91" s="128"/>
      <c r="DI91" s="2">
        <f t="shared" si="78"/>
      </c>
      <c r="DJ91" s="2">
        <f t="shared" si="79"/>
      </c>
      <c r="DK91" s="128">
        <f t="shared" si="80"/>
      </c>
      <c r="DL91" s="128"/>
      <c r="DM91" s="21" t="str">
        <f t="shared" si="81"/>
        <v>165.2.1。【說明：原實際條件成就時間為165.1.1，惟因必須配合學期而延至當學期結束之次日，始能退休生效，爰推算為165.2.1】</v>
      </c>
      <c r="DN91" s="2" t="str">
        <f t="shared" si="82"/>
        <v>165.1.1</v>
      </c>
      <c r="DO91" s="2"/>
      <c r="DP91" s="2"/>
      <c r="DQ91" s="2"/>
      <c r="DR91" s="2"/>
      <c r="DS91" s="2"/>
      <c r="DT91" s="2"/>
      <c r="DU91" s="2"/>
      <c r="DV91" s="10"/>
      <c r="DW91" s="2">
        <f t="shared" si="83"/>
        <v>165</v>
      </c>
      <c r="DX91" s="2" t="str">
        <f t="shared" si="84"/>
        <v>◆但@*%#...喔麥尬～上開生效日期已逾121年底的過渡期，仍否再適用指標數規定，恐有疑義！</v>
      </c>
      <c r="DY91" s="34"/>
      <c r="DZ91" s="7">
        <f t="shared" si="85"/>
        <v>1</v>
      </c>
      <c r="EA91" s="123">
        <f t="shared" si="86"/>
        <v>0</v>
      </c>
      <c r="EB91" s="211">
        <f t="shared" si="87"/>
      </c>
      <c r="EC91" s="210">
        <f t="shared" si="88"/>
      </c>
      <c r="ED91" s="210" t="e">
        <f t="shared" si="89"/>
        <v>#VALUE!</v>
      </c>
      <c r="EE91" s="34"/>
      <c r="EF91" s="34"/>
      <c r="EG91" s="34"/>
      <c r="EH91" s="34"/>
      <c r="EI91" s="34"/>
      <c r="EJ91" s="34"/>
      <c r="EK91" s="34"/>
      <c r="EL91" s="34"/>
      <c r="EM91" s="34"/>
      <c r="EN91" s="314"/>
      <c r="EO91" s="30"/>
      <c r="EP91" s="315"/>
      <c r="EQ91" s="315"/>
    </row>
    <row r="92" spans="1:147" s="29" customFormat="1" ht="15.75" customHeight="1" hidden="1" thickBot="1" thickTop="1">
      <c r="A92" s="143"/>
      <c r="B92" s="149">
        <f t="shared" si="98"/>
        <v>166</v>
      </c>
      <c r="C92" s="26">
        <f t="shared" si="94"/>
        <v>20771231</v>
      </c>
      <c r="D92" s="26" t="str">
        <f t="shared" si="10"/>
        <v>2077</v>
      </c>
      <c r="E92" s="26" t="str">
        <f t="shared" si="11"/>
        <v>12</v>
      </c>
      <c r="F92" s="26" t="str">
        <f t="shared" si="12"/>
        <v>31</v>
      </c>
      <c r="G92" s="300">
        <f t="shared" si="13"/>
        <v>65015</v>
      </c>
      <c r="H92" s="116">
        <f t="shared" si="0"/>
        <v>76</v>
      </c>
      <c r="I92" s="116">
        <f t="shared" si="14"/>
        <v>4</v>
      </c>
      <c r="J92" s="26">
        <f t="shared" si="111"/>
        <v>30</v>
      </c>
      <c r="K92" s="117">
        <f t="shared" si="15"/>
        <v>78</v>
      </c>
      <c r="L92" s="117">
        <f t="shared" si="16"/>
        <v>3</v>
      </c>
      <c r="M92" s="117">
        <f t="shared" si="17"/>
        <v>8</v>
      </c>
      <c r="N92" s="574" t="str">
        <f t="shared" si="99"/>
        <v>166.1.1~166.12.31</v>
      </c>
      <c r="O92" s="575"/>
      <c r="P92" s="575"/>
      <c r="Q92" s="576"/>
      <c r="R92" s="394">
        <v>60</v>
      </c>
      <c r="S92" s="391">
        <f t="shared" si="18"/>
        <v>108</v>
      </c>
      <c r="T92" s="392">
        <f t="shared" si="19"/>
        <v>78</v>
      </c>
      <c r="U92" s="393">
        <f t="shared" si="20"/>
        <v>186</v>
      </c>
      <c r="V92" s="148">
        <f t="shared" si="21"/>
      </c>
      <c r="W92" s="580">
        <f t="shared" si="120"/>
      </c>
      <c r="X92" s="581"/>
      <c r="Y92" s="581"/>
      <c r="Z92" s="582"/>
      <c r="AA92" s="249">
        <f t="shared" si="23"/>
      </c>
      <c r="AB92" s="248">
        <f t="shared" si="24"/>
      </c>
      <c r="AC92" s="330">
        <f t="shared" si="25"/>
      </c>
      <c r="AD92" s="102"/>
      <c r="AE92" s="118">
        <f t="shared" si="26"/>
        <v>0</v>
      </c>
      <c r="AF92" s="118">
        <f t="shared" si="27"/>
        <v>0</v>
      </c>
      <c r="AG92" s="118">
        <f t="shared" si="121"/>
        <v>1</v>
      </c>
      <c r="AH92" s="118">
        <f>IF(OR(AE92+AF92+AG92&gt;0,SUM($AE$30:AG91)&gt;0),1,0)</f>
        <v>1</v>
      </c>
      <c r="AI92" s="118">
        <f t="shared" si="29"/>
      </c>
      <c r="AJ92" s="118">
        <f t="shared" si="30"/>
      </c>
      <c r="AK92" s="118" t="str">
        <f t="shared" si="31"/>
        <v>符合「年齡滿65歲、年資滿15年」之擇領月退休金條件</v>
      </c>
      <c r="AL92" s="118" t="str">
        <f t="shared" si="112"/>
        <v>符合「年齡滿65歲、年資滿15年」之擇領月退休金條件</v>
      </c>
      <c r="AM92" s="119">
        <f t="shared" si="113"/>
        <v>0</v>
      </c>
      <c r="AN92" s="119">
        <f t="shared" si="114"/>
        <v>1</v>
      </c>
      <c r="AO92" s="119" t="str">
        <f t="shared" si="115"/>
        <v>符合</v>
      </c>
      <c r="AP92" s="119">
        <f t="shared" si="116"/>
        <v>108</v>
      </c>
      <c r="AQ92" s="119">
        <f t="shared" si="117"/>
        <v>20771231</v>
      </c>
      <c r="AR92" s="119" t="str">
        <f t="shared" si="118"/>
        <v>166.1.1~166.12.31</v>
      </c>
      <c r="AS92" s="120">
        <f t="shared" si="39"/>
      </c>
      <c r="AT92" s="121">
        <f t="shared" si="119"/>
      </c>
      <c r="AU92" s="121">
        <f t="shared" si="41"/>
        <v>1</v>
      </c>
      <c r="AV92" s="119">
        <f t="shared" si="42"/>
      </c>
      <c r="AW92" s="122">
        <f t="shared" si="43"/>
      </c>
      <c r="AX92" s="31">
        <f t="shared" si="44"/>
        <v>0</v>
      </c>
      <c r="AY92" s="7">
        <f t="shared" si="45"/>
        <v>1</v>
      </c>
      <c r="AZ92" s="123">
        <f t="shared" si="46"/>
        <v>1</v>
      </c>
      <c r="BA92" s="123">
        <f t="shared" si="47"/>
        <v>0</v>
      </c>
      <c r="BB92" s="123">
        <f t="shared" si="48"/>
      </c>
      <c r="BC92" s="33"/>
      <c r="BD92" s="33"/>
      <c r="BE92" s="33"/>
      <c r="BF92" s="33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4"/>
      <c r="BT92" s="34"/>
      <c r="BU92" s="34"/>
      <c r="BV92" s="34"/>
      <c r="BW92" s="179">
        <f t="shared" si="101"/>
        <v>23</v>
      </c>
      <c r="BX92" s="7">
        <f t="shared" si="102"/>
        <v>9</v>
      </c>
      <c r="BY92" s="20">
        <f t="shared" si="51"/>
        <v>166</v>
      </c>
      <c r="BZ92" s="2" t="str">
        <f t="shared" si="52"/>
        <v>166.2.5</v>
      </c>
      <c r="CA92" s="181">
        <f t="shared" si="53"/>
        <v>2</v>
      </c>
      <c r="CB92" s="2">
        <f t="shared" si="103"/>
        <v>5</v>
      </c>
      <c r="CC92" s="2" t="str">
        <f t="shared" si="54"/>
        <v>166.9.28</v>
      </c>
      <c r="CD92" s="181">
        <f t="shared" si="95"/>
        <v>9</v>
      </c>
      <c r="CE92" s="2">
        <f t="shared" si="96"/>
        <v>28</v>
      </c>
      <c r="CF92" s="2" t="str">
        <f t="shared" si="104"/>
        <v>生日</v>
      </c>
      <c r="CG92" s="2" t="str">
        <f t="shared" si="105"/>
        <v>166.2.5</v>
      </c>
      <c r="CH92" s="2">
        <f t="shared" si="106"/>
        <v>2</v>
      </c>
      <c r="CI92" s="2" t="str">
        <f t="shared" si="107"/>
        <v>初任</v>
      </c>
      <c r="CJ92" s="2" t="str">
        <f t="shared" si="108"/>
        <v>166.9.28</v>
      </c>
      <c r="CK92" s="2">
        <f t="shared" si="109"/>
        <v>9</v>
      </c>
      <c r="CL92" s="2">
        <f t="shared" si="110"/>
        <v>0</v>
      </c>
      <c r="CM92" s="339">
        <f t="shared" si="62"/>
      </c>
      <c r="CN92" s="2">
        <f t="shared" si="63"/>
      </c>
      <c r="CO92" s="2">
        <f t="shared" si="64"/>
      </c>
      <c r="CP92" s="2">
        <f t="shared" si="65"/>
      </c>
      <c r="CQ92" s="2">
        <f t="shared" si="66"/>
      </c>
      <c r="CR92" s="2">
        <f t="shared" si="7"/>
      </c>
      <c r="CS92" s="128">
        <f t="shared" si="8"/>
      </c>
      <c r="CT92" s="2">
        <f t="shared" si="67"/>
      </c>
      <c r="CU92" s="2">
        <f t="shared" si="68"/>
      </c>
      <c r="CV92" s="128">
        <f t="shared" si="69"/>
      </c>
      <c r="CW92" s="2" t="str">
        <f t="shared" si="97"/>
        <v>166.1.1</v>
      </c>
      <c r="CX92" s="2">
        <f t="shared" si="70"/>
        <v>1</v>
      </c>
      <c r="CY92" s="128" t="str">
        <f t="shared" si="71"/>
        <v>166.2.1。【說明：原實際條件成就時間為166.1.1，惟因必須配合學期而延至當學期結束之次日，始能退休生效，爰推算為166.2.1】</v>
      </c>
      <c r="CZ92" s="2">
        <f t="shared" si="72"/>
      </c>
      <c r="DA92" s="2">
        <f t="shared" si="73"/>
      </c>
      <c r="DB92" s="128">
        <f t="shared" si="74"/>
      </c>
      <c r="DC92" s="2">
        <f t="shared" si="75"/>
      </c>
      <c r="DD92" s="2">
        <f t="shared" si="76"/>
      </c>
      <c r="DE92" s="128">
        <f t="shared" si="77"/>
      </c>
      <c r="DF92" s="2"/>
      <c r="DG92" s="2"/>
      <c r="DH92" s="128"/>
      <c r="DI92" s="2">
        <f t="shared" si="78"/>
      </c>
      <c r="DJ92" s="2">
        <f t="shared" si="79"/>
      </c>
      <c r="DK92" s="128">
        <f t="shared" si="80"/>
      </c>
      <c r="DL92" s="128"/>
      <c r="DM92" s="21" t="str">
        <f t="shared" si="81"/>
        <v>166.2.1。【說明：原實際條件成就時間為166.1.1，惟因必須配合學期而延至當學期結束之次日，始能退休生效，爰推算為166.2.1】</v>
      </c>
      <c r="DN92" s="2" t="str">
        <f t="shared" si="82"/>
        <v>166.1.1</v>
      </c>
      <c r="DO92" s="2"/>
      <c r="DP92" s="2"/>
      <c r="DQ92" s="2"/>
      <c r="DR92" s="2"/>
      <c r="DS92" s="2"/>
      <c r="DT92" s="2"/>
      <c r="DU92" s="2"/>
      <c r="DV92" s="10"/>
      <c r="DW92" s="2">
        <f t="shared" si="83"/>
        <v>166</v>
      </c>
      <c r="DX92" s="2" t="str">
        <f t="shared" si="84"/>
        <v>◆但@*%#...喔麥尬～上開生效日期已逾121年底的過渡期，仍否再適用指標數規定，恐有疑義！</v>
      </c>
      <c r="DY92" s="34"/>
      <c r="DZ92" s="7">
        <f t="shared" si="85"/>
        <v>1</v>
      </c>
      <c r="EA92" s="123">
        <f t="shared" si="86"/>
        <v>0</v>
      </c>
      <c r="EB92" s="211">
        <f t="shared" si="87"/>
      </c>
      <c r="EC92" s="210">
        <f t="shared" si="88"/>
      </c>
      <c r="ED92" s="210" t="e">
        <f t="shared" si="89"/>
        <v>#VALUE!</v>
      </c>
      <c r="EE92" s="34"/>
      <c r="EF92" s="34"/>
      <c r="EG92" s="34"/>
      <c r="EH92" s="34"/>
      <c r="EI92" s="34"/>
      <c r="EJ92" s="34"/>
      <c r="EK92" s="34"/>
      <c r="EL92" s="34"/>
      <c r="EM92" s="34"/>
      <c r="EN92" s="314"/>
      <c r="EO92" s="30"/>
      <c r="EP92" s="315"/>
      <c r="EQ92" s="315"/>
    </row>
    <row r="93" spans="1:147" s="29" customFormat="1" ht="15.75" customHeight="1" hidden="1" thickBot="1" thickTop="1">
      <c r="A93" s="143"/>
      <c r="B93" s="149">
        <f t="shared" si="98"/>
        <v>167</v>
      </c>
      <c r="C93" s="26">
        <f t="shared" si="94"/>
        <v>20781231</v>
      </c>
      <c r="D93" s="26" t="str">
        <f t="shared" si="10"/>
        <v>2078</v>
      </c>
      <c r="E93" s="26" t="str">
        <f t="shared" si="11"/>
        <v>12</v>
      </c>
      <c r="F93" s="26" t="str">
        <f t="shared" si="12"/>
        <v>31</v>
      </c>
      <c r="G93" s="300">
        <f t="shared" si="13"/>
        <v>65380</v>
      </c>
      <c r="H93" s="116">
        <f t="shared" si="0"/>
        <v>77</v>
      </c>
      <c r="I93" s="116">
        <f t="shared" si="14"/>
        <v>4</v>
      </c>
      <c r="J93" s="26">
        <f t="shared" si="111"/>
        <v>30</v>
      </c>
      <c r="K93" s="117">
        <f t="shared" si="15"/>
        <v>79</v>
      </c>
      <c r="L93" s="117">
        <f t="shared" si="16"/>
        <v>3</v>
      </c>
      <c r="M93" s="117">
        <f t="shared" si="17"/>
        <v>8</v>
      </c>
      <c r="N93" s="574" t="str">
        <f t="shared" si="99"/>
        <v>167.1.1~167.12.31</v>
      </c>
      <c r="O93" s="575"/>
      <c r="P93" s="575"/>
      <c r="Q93" s="576"/>
      <c r="R93" s="394">
        <v>60</v>
      </c>
      <c r="S93" s="391">
        <f t="shared" si="18"/>
        <v>109</v>
      </c>
      <c r="T93" s="392">
        <f t="shared" si="19"/>
        <v>79</v>
      </c>
      <c r="U93" s="393">
        <f t="shared" si="20"/>
        <v>188</v>
      </c>
      <c r="V93" s="148">
        <f t="shared" si="21"/>
      </c>
      <c r="W93" s="580">
        <f t="shared" si="120"/>
      </c>
      <c r="X93" s="581"/>
      <c r="Y93" s="581"/>
      <c r="Z93" s="582"/>
      <c r="AA93" s="249">
        <f t="shared" si="23"/>
      </c>
      <c r="AB93" s="248">
        <f t="shared" si="24"/>
      </c>
      <c r="AC93" s="330">
        <f t="shared" si="25"/>
      </c>
      <c r="AD93" s="102"/>
      <c r="AE93" s="118">
        <f t="shared" si="26"/>
        <v>0</v>
      </c>
      <c r="AF93" s="118">
        <f t="shared" si="27"/>
        <v>0</v>
      </c>
      <c r="AG93" s="118">
        <f t="shared" si="121"/>
        <v>1</v>
      </c>
      <c r="AH93" s="118">
        <f>IF(OR(AE93+AF93+AG93&gt;0,SUM($AE$30:AG92)&gt;0),1,0)</f>
        <v>1</v>
      </c>
      <c r="AI93" s="118">
        <f t="shared" si="29"/>
      </c>
      <c r="AJ93" s="118">
        <f t="shared" si="30"/>
      </c>
      <c r="AK93" s="118" t="str">
        <f t="shared" si="31"/>
        <v>符合「年齡滿65歲、年資滿15年」之擇領月退休金條件</v>
      </c>
      <c r="AL93" s="118" t="str">
        <f t="shared" si="112"/>
        <v>符合「年齡滿65歲、年資滿15年」之擇領月退休金條件</v>
      </c>
      <c r="AM93" s="119">
        <f t="shared" si="113"/>
        <v>0</v>
      </c>
      <c r="AN93" s="119">
        <f t="shared" si="114"/>
        <v>1</v>
      </c>
      <c r="AO93" s="119" t="str">
        <f t="shared" si="115"/>
        <v>符合</v>
      </c>
      <c r="AP93" s="119">
        <f t="shared" si="116"/>
        <v>109</v>
      </c>
      <c r="AQ93" s="119">
        <f t="shared" si="117"/>
        <v>20781231</v>
      </c>
      <c r="AR93" s="119" t="str">
        <f t="shared" si="118"/>
        <v>167.1.1~167.12.31</v>
      </c>
      <c r="AS93" s="120">
        <f t="shared" si="39"/>
      </c>
      <c r="AT93" s="121">
        <f t="shared" si="119"/>
      </c>
      <c r="AU93" s="121">
        <f t="shared" si="41"/>
        <v>1</v>
      </c>
      <c r="AV93" s="119">
        <f t="shared" si="42"/>
      </c>
      <c r="AW93" s="122">
        <f t="shared" si="43"/>
      </c>
      <c r="AX93" s="31">
        <f t="shared" si="44"/>
        <v>0</v>
      </c>
      <c r="AY93" s="7">
        <f t="shared" si="45"/>
        <v>1</v>
      </c>
      <c r="AZ93" s="123">
        <f t="shared" si="46"/>
        <v>1</v>
      </c>
      <c r="BA93" s="123">
        <f t="shared" si="47"/>
        <v>0</v>
      </c>
      <c r="BB93" s="123">
        <f t="shared" si="48"/>
      </c>
      <c r="BC93" s="33"/>
      <c r="BD93" s="33"/>
      <c r="BE93" s="33"/>
      <c r="BF93" s="33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4"/>
      <c r="BT93" s="34"/>
      <c r="BU93" s="34"/>
      <c r="BV93" s="34"/>
      <c r="BW93" s="179">
        <f t="shared" si="101"/>
        <v>23</v>
      </c>
      <c r="BX93" s="7">
        <f t="shared" si="102"/>
        <v>9</v>
      </c>
      <c r="BY93" s="20">
        <f t="shared" si="51"/>
        <v>167</v>
      </c>
      <c r="BZ93" s="2" t="str">
        <f t="shared" si="52"/>
        <v>167.2.5</v>
      </c>
      <c r="CA93" s="181">
        <f t="shared" si="53"/>
        <v>2</v>
      </c>
      <c r="CB93" s="2">
        <f t="shared" si="103"/>
        <v>5</v>
      </c>
      <c r="CC93" s="2" t="str">
        <f t="shared" si="54"/>
        <v>167.9.28</v>
      </c>
      <c r="CD93" s="181">
        <f t="shared" si="95"/>
        <v>9</v>
      </c>
      <c r="CE93" s="2">
        <f t="shared" si="96"/>
        <v>28</v>
      </c>
      <c r="CF93" s="2" t="str">
        <f t="shared" si="104"/>
        <v>生日</v>
      </c>
      <c r="CG93" s="2" t="str">
        <f t="shared" si="105"/>
        <v>167.2.5</v>
      </c>
      <c r="CH93" s="2">
        <f t="shared" si="106"/>
        <v>2</v>
      </c>
      <c r="CI93" s="2" t="str">
        <f t="shared" si="107"/>
        <v>初任</v>
      </c>
      <c r="CJ93" s="2" t="str">
        <f t="shared" si="108"/>
        <v>167.9.28</v>
      </c>
      <c r="CK93" s="2">
        <f t="shared" si="109"/>
        <v>9</v>
      </c>
      <c r="CL93" s="2">
        <f t="shared" si="110"/>
        <v>0</v>
      </c>
      <c r="CM93" s="339">
        <f t="shared" si="62"/>
      </c>
      <c r="CN93" s="2">
        <f t="shared" si="63"/>
      </c>
      <c r="CO93" s="2">
        <f t="shared" si="64"/>
      </c>
      <c r="CP93" s="2">
        <f t="shared" si="65"/>
      </c>
      <c r="CQ93" s="2">
        <f t="shared" si="66"/>
      </c>
      <c r="CR93" s="2">
        <f t="shared" si="7"/>
      </c>
      <c r="CS93" s="128">
        <f t="shared" si="8"/>
      </c>
      <c r="CT93" s="2">
        <f t="shared" si="67"/>
      </c>
      <c r="CU93" s="2">
        <f t="shared" si="68"/>
      </c>
      <c r="CV93" s="128">
        <f t="shared" si="69"/>
      </c>
      <c r="CW93" s="2" t="str">
        <f t="shared" si="97"/>
        <v>167.1.1</v>
      </c>
      <c r="CX93" s="2">
        <f t="shared" si="70"/>
        <v>1</v>
      </c>
      <c r="CY93" s="128" t="str">
        <f t="shared" si="71"/>
        <v>167.2.1。【說明：原實際條件成就時間為167.1.1，惟因必須配合學期而延至當學期結束之次日，始能退休生效，爰推算為167.2.1】</v>
      </c>
      <c r="CZ93" s="2">
        <f t="shared" si="72"/>
      </c>
      <c r="DA93" s="2">
        <f t="shared" si="73"/>
      </c>
      <c r="DB93" s="128">
        <f t="shared" si="74"/>
      </c>
      <c r="DC93" s="2">
        <f t="shared" si="75"/>
      </c>
      <c r="DD93" s="2">
        <f t="shared" si="76"/>
      </c>
      <c r="DE93" s="128">
        <f t="shared" si="77"/>
      </c>
      <c r="DF93" s="2"/>
      <c r="DG93" s="2"/>
      <c r="DH93" s="128"/>
      <c r="DI93" s="2">
        <f t="shared" si="78"/>
      </c>
      <c r="DJ93" s="2">
        <f t="shared" si="79"/>
      </c>
      <c r="DK93" s="128">
        <f t="shared" si="80"/>
      </c>
      <c r="DL93" s="128"/>
      <c r="DM93" s="21" t="str">
        <f t="shared" si="81"/>
        <v>167.2.1。【說明：原實際條件成就時間為167.1.1，惟因必須配合學期而延至當學期結束之次日，始能退休生效，爰推算為167.2.1】</v>
      </c>
      <c r="DN93" s="2" t="str">
        <f t="shared" si="82"/>
        <v>167.1.1</v>
      </c>
      <c r="DO93" s="2"/>
      <c r="DP93" s="2"/>
      <c r="DQ93" s="2"/>
      <c r="DR93" s="2"/>
      <c r="DS93" s="2"/>
      <c r="DT93" s="2"/>
      <c r="DU93" s="2"/>
      <c r="DV93" s="10"/>
      <c r="DW93" s="2">
        <f t="shared" si="83"/>
        <v>167</v>
      </c>
      <c r="DX93" s="2" t="str">
        <f t="shared" si="84"/>
        <v>◆但@*%#...喔麥尬～上開生效日期已逾121年底的過渡期，仍否再適用指標數規定，恐有疑義！</v>
      </c>
      <c r="DY93" s="34"/>
      <c r="DZ93" s="7">
        <f t="shared" si="85"/>
        <v>1</v>
      </c>
      <c r="EA93" s="123">
        <f t="shared" si="86"/>
        <v>0</v>
      </c>
      <c r="EB93" s="211">
        <f t="shared" si="87"/>
      </c>
      <c r="EC93" s="210">
        <f t="shared" si="88"/>
      </c>
      <c r="ED93" s="210" t="e">
        <f t="shared" si="89"/>
        <v>#VALUE!</v>
      </c>
      <c r="EE93" s="34"/>
      <c r="EF93" s="34"/>
      <c r="EG93" s="34"/>
      <c r="EH93" s="34"/>
      <c r="EI93" s="34"/>
      <c r="EJ93" s="34"/>
      <c r="EK93" s="34"/>
      <c r="EL93" s="34"/>
      <c r="EM93" s="34"/>
      <c r="EN93" s="314"/>
      <c r="EO93" s="30"/>
      <c r="EP93" s="315"/>
      <c r="EQ93" s="315"/>
    </row>
    <row r="94" spans="1:147" s="29" customFormat="1" ht="15.75" customHeight="1" hidden="1" thickBot="1" thickTop="1">
      <c r="A94" s="143"/>
      <c r="B94" s="149">
        <f t="shared" si="98"/>
        <v>168</v>
      </c>
      <c r="C94" s="26">
        <f t="shared" si="94"/>
        <v>20791231</v>
      </c>
      <c r="D94" s="26" t="str">
        <f t="shared" si="10"/>
        <v>2079</v>
      </c>
      <c r="E94" s="26" t="str">
        <f t="shared" si="11"/>
        <v>12</v>
      </c>
      <c r="F94" s="26" t="str">
        <f t="shared" si="12"/>
        <v>31</v>
      </c>
      <c r="G94" s="300">
        <f t="shared" si="13"/>
        <v>65745</v>
      </c>
      <c r="H94" s="116">
        <f t="shared" si="0"/>
        <v>78</v>
      </c>
      <c r="I94" s="116">
        <f t="shared" si="14"/>
        <v>4</v>
      </c>
      <c r="J94" s="26">
        <f t="shared" si="111"/>
        <v>30</v>
      </c>
      <c r="K94" s="117">
        <f t="shared" si="15"/>
        <v>80</v>
      </c>
      <c r="L94" s="117">
        <f t="shared" si="16"/>
        <v>3</v>
      </c>
      <c r="M94" s="117">
        <f t="shared" si="17"/>
        <v>8</v>
      </c>
      <c r="N94" s="574" t="str">
        <f t="shared" si="99"/>
        <v>168.1.1~168.12.31</v>
      </c>
      <c r="O94" s="575"/>
      <c r="P94" s="575"/>
      <c r="Q94" s="576"/>
      <c r="R94" s="394">
        <v>60</v>
      </c>
      <c r="S94" s="391">
        <f t="shared" si="18"/>
        <v>110</v>
      </c>
      <c r="T94" s="392">
        <f t="shared" si="19"/>
        <v>80</v>
      </c>
      <c r="U94" s="393">
        <f t="shared" si="20"/>
        <v>190</v>
      </c>
      <c r="V94" s="148">
        <f t="shared" si="21"/>
      </c>
      <c r="W94" s="580">
        <f t="shared" si="120"/>
      </c>
      <c r="X94" s="581"/>
      <c r="Y94" s="581"/>
      <c r="Z94" s="582"/>
      <c r="AA94" s="249">
        <f t="shared" si="23"/>
      </c>
      <c r="AB94" s="248">
        <f t="shared" si="24"/>
      </c>
      <c r="AC94" s="330">
        <f t="shared" si="25"/>
      </c>
      <c r="AD94" s="102"/>
      <c r="AE94" s="118">
        <f t="shared" si="26"/>
        <v>0</v>
      </c>
      <c r="AF94" s="118">
        <f t="shared" si="27"/>
        <v>0</v>
      </c>
      <c r="AG94" s="118">
        <f t="shared" si="121"/>
        <v>1</v>
      </c>
      <c r="AH94" s="118">
        <f>IF(OR(AE94+AF94+AG94&gt;0,SUM($AE$30:AG93)&gt;0),1,0)</f>
        <v>1</v>
      </c>
      <c r="AI94" s="118">
        <f t="shared" si="29"/>
      </c>
      <c r="AJ94" s="118">
        <f t="shared" si="30"/>
      </c>
      <c r="AK94" s="118" t="str">
        <f t="shared" si="31"/>
        <v>符合「年齡滿65歲、年資滿15年」之擇領月退休金條件</v>
      </c>
      <c r="AL94" s="118" t="str">
        <f t="shared" si="112"/>
        <v>符合「年齡滿65歲、年資滿15年」之擇領月退休金條件</v>
      </c>
      <c r="AM94" s="119">
        <f t="shared" si="113"/>
        <v>0</v>
      </c>
      <c r="AN94" s="119">
        <f t="shared" si="114"/>
        <v>1</v>
      </c>
      <c r="AO94" s="119" t="str">
        <f t="shared" si="115"/>
        <v>符合</v>
      </c>
      <c r="AP94" s="119">
        <f t="shared" si="116"/>
        <v>110</v>
      </c>
      <c r="AQ94" s="119">
        <f t="shared" si="117"/>
        <v>20791231</v>
      </c>
      <c r="AR94" s="119" t="str">
        <f t="shared" si="118"/>
        <v>168.1.1~168.12.31</v>
      </c>
      <c r="AS94" s="120">
        <f t="shared" si="39"/>
      </c>
      <c r="AT94" s="121">
        <f t="shared" si="119"/>
      </c>
      <c r="AU94" s="121">
        <f t="shared" si="41"/>
        <v>1</v>
      </c>
      <c r="AV94" s="119">
        <f t="shared" si="42"/>
      </c>
      <c r="AW94" s="122">
        <f t="shared" si="43"/>
      </c>
      <c r="AX94" s="31">
        <f t="shared" si="44"/>
        <v>0</v>
      </c>
      <c r="AY94" s="7">
        <f t="shared" si="45"/>
        <v>1</v>
      </c>
      <c r="AZ94" s="123">
        <f t="shared" si="46"/>
        <v>1</v>
      </c>
      <c r="BA94" s="123">
        <f t="shared" si="47"/>
        <v>0</v>
      </c>
      <c r="BB94" s="123">
        <f t="shared" si="48"/>
      </c>
      <c r="BC94" s="33"/>
      <c r="BD94" s="33"/>
      <c r="BE94" s="33"/>
      <c r="BF94" s="33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4"/>
      <c r="BT94" s="34"/>
      <c r="BU94" s="34"/>
      <c r="BV94" s="34"/>
      <c r="BW94" s="179">
        <f t="shared" si="101"/>
        <v>23</v>
      </c>
      <c r="BX94" s="7">
        <f t="shared" si="102"/>
        <v>9</v>
      </c>
      <c r="BY94" s="20">
        <f t="shared" si="51"/>
        <v>168</v>
      </c>
      <c r="BZ94" s="2" t="str">
        <f t="shared" si="52"/>
        <v>168.2.5</v>
      </c>
      <c r="CA94" s="181">
        <f t="shared" si="53"/>
        <v>2</v>
      </c>
      <c r="CB94" s="2">
        <f t="shared" si="103"/>
        <v>5</v>
      </c>
      <c r="CC94" s="2" t="str">
        <f t="shared" si="54"/>
        <v>168.9.28</v>
      </c>
      <c r="CD94" s="181">
        <f t="shared" si="95"/>
        <v>9</v>
      </c>
      <c r="CE94" s="2">
        <f t="shared" si="96"/>
        <v>28</v>
      </c>
      <c r="CF94" s="2" t="str">
        <f t="shared" si="104"/>
        <v>生日</v>
      </c>
      <c r="CG94" s="2" t="str">
        <f t="shared" si="105"/>
        <v>168.2.5</v>
      </c>
      <c r="CH94" s="2">
        <f t="shared" si="106"/>
        <v>2</v>
      </c>
      <c r="CI94" s="2" t="str">
        <f t="shared" si="107"/>
        <v>初任</v>
      </c>
      <c r="CJ94" s="2" t="str">
        <f t="shared" si="108"/>
        <v>168.9.28</v>
      </c>
      <c r="CK94" s="2">
        <f t="shared" si="109"/>
        <v>9</v>
      </c>
      <c r="CL94" s="2">
        <f t="shared" si="110"/>
        <v>0</v>
      </c>
      <c r="CM94" s="339">
        <f t="shared" si="62"/>
      </c>
      <c r="CN94" s="2">
        <f t="shared" si="63"/>
      </c>
      <c r="CO94" s="2">
        <f t="shared" si="64"/>
      </c>
      <c r="CP94" s="2">
        <f t="shared" si="65"/>
      </c>
      <c r="CQ94" s="2">
        <f t="shared" si="66"/>
      </c>
      <c r="CR94" s="2">
        <f t="shared" si="7"/>
      </c>
      <c r="CS94" s="128">
        <f t="shared" si="8"/>
      </c>
      <c r="CT94" s="2">
        <f t="shared" si="67"/>
      </c>
      <c r="CU94" s="2">
        <f t="shared" si="68"/>
      </c>
      <c r="CV94" s="128">
        <f t="shared" si="69"/>
      </c>
      <c r="CW94" s="2" t="str">
        <f t="shared" si="97"/>
        <v>168.1.1</v>
      </c>
      <c r="CX94" s="2">
        <f t="shared" si="70"/>
        <v>1</v>
      </c>
      <c r="CY94" s="128" t="str">
        <f t="shared" si="71"/>
        <v>168.2.1。【說明：原實際條件成就時間為168.1.1，惟因必須配合學期而延至當學期結束之次日，始能退休生效，爰推算為168.2.1】</v>
      </c>
      <c r="CZ94" s="2">
        <f t="shared" si="72"/>
      </c>
      <c r="DA94" s="2">
        <f t="shared" si="73"/>
      </c>
      <c r="DB94" s="128">
        <f t="shared" si="74"/>
      </c>
      <c r="DC94" s="2">
        <f t="shared" si="75"/>
      </c>
      <c r="DD94" s="2">
        <f t="shared" si="76"/>
      </c>
      <c r="DE94" s="128">
        <f t="shared" si="77"/>
      </c>
      <c r="DF94" s="2"/>
      <c r="DG94" s="2"/>
      <c r="DH94" s="128"/>
      <c r="DI94" s="2">
        <f t="shared" si="78"/>
      </c>
      <c r="DJ94" s="2">
        <f t="shared" si="79"/>
      </c>
      <c r="DK94" s="128">
        <f t="shared" si="80"/>
      </c>
      <c r="DL94" s="128"/>
      <c r="DM94" s="21" t="str">
        <f t="shared" si="81"/>
        <v>168.2.1。【說明：原實際條件成就時間為168.1.1，惟因必須配合學期而延至當學期結束之次日，始能退休生效，爰推算為168.2.1】</v>
      </c>
      <c r="DN94" s="2" t="str">
        <f t="shared" si="82"/>
        <v>168.1.1</v>
      </c>
      <c r="DO94" s="2"/>
      <c r="DP94" s="2"/>
      <c r="DQ94" s="2"/>
      <c r="DR94" s="2"/>
      <c r="DS94" s="2"/>
      <c r="DT94" s="2"/>
      <c r="DU94" s="2"/>
      <c r="DV94" s="10"/>
      <c r="DW94" s="2">
        <f t="shared" si="83"/>
        <v>168</v>
      </c>
      <c r="DX94" s="2" t="str">
        <f t="shared" si="84"/>
        <v>◆但@*%#...喔麥尬～上開生效日期已逾121年底的過渡期，仍否再適用指標數規定，恐有疑義！</v>
      </c>
      <c r="DY94" s="34"/>
      <c r="DZ94" s="7">
        <f t="shared" si="85"/>
        <v>1</v>
      </c>
      <c r="EA94" s="123">
        <f t="shared" si="86"/>
        <v>0</v>
      </c>
      <c r="EB94" s="211">
        <f t="shared" si="87"/>
      </c>
      <c r="EC94" s="210">
        <f t="shared" si="88"/>
      </c>
      <c r="ED94" s="210" t="e">
        <f t="shared" si="89"/>
        <v>#VALUE!</v>
      </c>
      <c r="EE94" s="34"/>
      <c r="EF94" s="34"/>
      <c r="EG94" s="34"/>
      <c r="EH94" s="34"/>
      <c r="EI94" s="34"/>
      <c r="EJ94" s="34"/>
      <c r="EK94" s="34"/>
      <c r="EL94" s="34"/>
      <c r="EM94" s="34"/>
      <c r="EN94" s="314"/>
      <c r="EO94" s="30"/>
      <c r="EP94" s="315"/>
      <c r="EQ94" s="315"/>
    </row>
    <row r="95" spans="1:147" s="29" customFormat="1" ht="15.75" customHeight="1" hidden="1" thickBot="1" thickTop="1">
      <c r="A95" s="143"/>
      <c r="B95" s="149">
        <f t="shared" si="98"/>
        <v>169</v>
      </c>
      <c r="C95" s="26">
        <f t="shared" si="94"/>
        <v>20801231</v>
      </c>
      <c r="D95" s="26" t="str">
        <f t="shared" si="10"/>
        <v>2080</v>
      </c>
      <c r="E95" s="26" t="str">
        <f t="shared" si="11"/>
        <v>12</v>
      </c>
      <c r="F95" s="26" t="str">
        <f t="shared" si="12"/>
        <v>31</v>
      </c>
      <c r="G95" s="300">
        <f t="shared" si="13"/>
        <v>66111</v>
      </c>
      <c r="H95" s="116">
        <f aca="true" t="shared" si="122" ref="H95:H113">DATEDIF($Z$8,G95,"Y")</f>
        <v>79</v>
      </c>
      <c r="I95" s="116">
        <f t="shared" si="14"/>
        <v>4</v>
      </c>
      <c r="J95" s="26">
        <f t="shared" si="111"/>
        <v>30</v>
      </c>
      <c r="K95" s="117">
        <f t="shared" si="15"/>
        <v>81</v>
      </c>
      <c r="L95" s="117">
        <f t="shared" si="16"/>
        <v>3</v>
      </c>
      <c r="M95" s="117">
        <f t="shared" si="17"/>
        <v>8</v>
      </c>
      <c r="N95" s="574" t="str">
        <f t="shared" si="99"/>
        <v>169.1.1~169.12.31</v>
      </c>
      <c r="O95" s="575"/>
      <c r="P95" s="575"/>
      <c r="Q95" s="576"/>
      <c r="R95" s="394">
        <v>60</v>
      </c>
      <c r="S95" s="391">
        <f t="shared" si="18"/>
        <v>111</v>
      </c>
      <c r="T95" s="392">
        <f t="shared" si="19"/>
        <v>81</v>
      </c>
      <c r="U95" s="393">
        <f t="shared" si="20"/>
        <v>192</v>
      </c>
      <c r="V95" s="148">
        <f t="shared" si="21"/>
      </c>
      <c r="W95" s="580">
        <f t="shared" si="120"/>
      </c>
      <c r="X95" s="581"/>
      <c r="Y95" s="581"/>
      <c r="Z95" s="582"/>
      <c r="AA95" s="249">
        <f t="shared" si="23"/>
      </c>
      <c r="AB95" s="248">
        <f t="shared" si="24"/>
      </c>
      <c r="AC95" s="330">
        <f t="shared" si="25"/>
      </c>
      <c r="AD95" s="102"/>
      <c r="AE95" s="118">
        <f t="shared" si="26"/>
        <v>0</v>
      </c>
      <c r="AF95" s="118">
        <f t="shared" si="27"/>
        <v>0</v>
      </c>
      <c r="AG95" s="118">
        <f t="shared" si="121"/>
        <v>1</v>
      </c>
      <c r="AH95" s="118">
        <f>IF(OR(AE95+AF95+AG95&gt;0,SUM($AE$30:AG94)&gt;0),1,0)</f>
        <v>1</v>
      </c>
      <c r="AI95" s="118">
        <f t="shared" si="29"/>
      </c>
      <c r="AJ95" s="118">
        <f t="shared" si="30"/>
      </c>
      <c r="AK95" s="118" t="str">
        <f t="shared" si="31"/>
        <v>符合「年齡滿65歲、年資滿15年」之擇領月退休金條件</v>
      </c>
      <c r="AL95" s="118" t="str">
        <f t="shared" si="112"/>
        <v>符合「年齡滿65歲、年資滿15年」之擇領月退休金條件</v>
      </c>
      <c r="AM95" s="119">
        <f t="shared" si="113"/>
        <v>0</v>
      </c>
      <c r="AN95" s="119">
        <f t="shared" si="114"/>
        <v>1</v>
      </c>
      <c r="AO95" s="119" t="str">
        <f t="shared" si="115"/>
        <v>符合</v>
      </c>
      <c r="AP95" s="119">
        <f t="shared" si="116"/>
        <v>111</v>
      </c>
      <c r="AQ95" s="119">
        <f t="shared" si="117"/>
        <v>20801231</v>
      </c>
      <c r="AR95" s="119" t="str">
        <f t="shared" si="118"/>
        <v>169.1.1~169.12.31</v>
      </c>
      <c r="AS95" s="120">
        <f t="shared" si="39"/>
      </c>
      <c r="AT95" s="121">
        <f t="shared" si="119"/>
      </c>
      <c r="AU95" s="121">
        <f t="shared" si="41"/>
        <v>1</v>
      </c>
      <c r="AV95" s="119">
        <f t="shared" si="42"/>
      </c>
      <c r="AW95" s="122">
        <f t="shared" si="43"/>
      </c>
      <c r="AX95" s="31">
        <f t="shared" si="44"/>
        <v>0</v>
      </c>
      <c r="AY95" s="7">
        <f t="shared" si="45"/>
        <v>1</v>
      </c>
      <c r="AZ95" s="123">
        <f t="shared" si="46"/>
        <v>1</v>
      </c>
      <c r="BA95" s="123">
        <f t="shared" si="47"/>
        <v>0</v>
      </c>
      <c r="BB95" s="123">
        <f t="shared" si="48"/>
      </c>
      <c r="BC95" s="33"/>
      <c r="BD95" s="33"/>
      <c r="BE95" s="33"/>
      <c r="BF95" s="33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4"/>
      <c r="BT95" s="34"/>
      <c r="BU95" s="34"/>
      <c r="BV95" s="34"/>
      <c r="BW95" s="179">
        <f t="shared" si="101"/>
        <v>23</v>
      </c>
      <c r="BX95" s="7">
        <f t="shared" si="102"/>
        <v>9</v>
      </c>
      <c r="BY95" s="20">
        <f aca="true" t="shared" si="123" ref="BY95:BY113">IF($S$5="公務人員",D95-1911,D95-1911)</f>
        <v>169</v>
      </c>
      <c r="BZ95" s="2" t="str">
        <f t="shared" si="52"/>
        <v>169.2.5</v>
      </c>
      <c r="CA95" s="181">
        <f t="shared" si="53"/>
        <v>2</v>
      </c>
      <c r="CB95" s="2">
        <f t="shared" si="103"/>
        <v>5</v>
      </c>
      <c r="CC95" s="2" t="str">
        <f t="shared" si="54"/>
        <v>169.9.28</v>
      </c>
      <c r="CD95" s="181">
        <f t="shared" si="95"/>
        <v>9</v>
      </c>
      <c r="CE95" s="2">
        <f t="shared" si="96"/>
        <v>28</v>
      </c>
      <c r="CF95" s="2" t="str">
        <f t="shared" si="104"/>
        <v>生日</v>
      </c>
      <c r="CG95" s="2" t="str">
        <f t="shared" si="105"/>
        <v>169.2.5</v>
      </c>
      <c r="CH95" s="2">
        <f t="shared" si="106"/>
        <v>2</v>
      </c>
      <c r="CI95" s="2" t="str">
        <f t="shared" si="107"/>
        <v>初任</v>
      </c>
      <c r="CJ95" s="2" t="str">
        <f t="shared" si="108"/>
        <v>169.9.28</v>
      </c>
      <c r="CK95" s="2">
        <f t="shared" si="109"/>
        <v>9</v>
      </c>
      <c r="CL95" s="2">
        <f t="shared" si="110"/>
        <v>0</v>
      </c>
      <c r="CM95" s="339">
        <f t="shared" si="62"/>
      </c>
      <c r="CN95" s="2">
        <f t="shared" si="63"/>
      </c>
      <c r="CO95" s="2">
        <f t="shared" si="64"/>
      </c>
      <c r="CP95" s="2">
        <f t="shared" si="65"/>
      </c>
      <c r="CQ95" s="2">
        <f t="shared" si="66"/>
      </c>
      <c r="CR95" s="2">
        <f aca="true" t="shared" si="124" ref="CR95:CR143">IF(CP95="","",IF(CQ95="",IF(OR(AND(CP95&gt;7,OR(AND(CA95&gt;1,CA95&lt;=7),AND(CD95&gt;1,CD95&lt;=7))),AND(CP95&gt;7,OR(RIGHT(BZ95,4)=".8.1",RIGHT(CC95,4)=".8.1"))),BY95+1&amp;".8.1。【說明：原實際條件成就之日期為"&amp;CO95&amp;"，惟因須配合學期暨受次年度指標數增加或過渡期結束之影響，而必須二次遞延至當學年度結束之次日，始能退休生效，爰推算為"&amp;BY95+1&amp;".8.1】",BY95+2&amp;".2.1。【說明：原實際條件成就之日期為"&amp;CO95&amp;"，惟因須配合學期暨受次年度指標數增加或過渡期結束之影響，而必須三次遞延至次學年度第一學期結束之次日，始能退休生效，爰推算為"&amp;BY95+2&amp;".2.1】"),""))</f>
      </c>
      <c r="CS95" s="128">
        <f aca="true" t="shared" si="125" ref="CS95:CS113">IF(CP95="","",IF(RIGHT(CO95,4)=".8.1",BY95&amp;".8.1",IF(RIGHT(CO95,4)=".2.1",BY95&amp;".2.1",CQ95&amp;CR95)))</f>
      </c>
      <c r="CT95" s="2">
        <f t="shared" si="67"/>
      </c>
      <c r="CU95" s="2">
        <f t="shared" si="68"/>
      </c>
      <c r="CV95" s="128">
        <f t="shared" si="69"/>
      </c>
      <c r="CW95" s="2" t="str">
        <f t="shared" si="97"/>
        <v>169.1.1</v>
      </c>
      <c r="CX95" s="2">
        <f t="shared" si="70"/>
        <v>1</v>
      </c>
      <c r="CY95" s="128" t="str">
        <f t="shared" si="71"/>
        <v>169.2.1。【說明：原實際條件成就時間為169.1.1，惟因必須配合學期而延至當學期結束之次日，始能退休生效，爰推算為169.2.1】</v>
      </c>
      <c r="CZ95" s="2">
        <f t="shared" si="72"/>
      </c>
      <c r="DA95" s="2">
        <f t="shared" si="73"/>
      </c>
      <c r="DB95" s="128">
        <f t="shared" si="74"/>
      </c>
      <c r="DC95" s="2">
        <f t="shared" si="75"/>
      </c>
      <c r="DD95" s="2">
        <f t="shared" si="76"/>
      </c>
      <c r="DE95" s="128">
        <f t="shared" si="77"/>
      </c>
      <c r="DF95" s="2"/>
      <c r="DG95" s="2"/>
      <c r="DH95" s="128"/>
      <c r="DI95" s="2">
        <f t="shared" si="78"/>
      </c>
      <c r="DJ95" s="2">
        <f t="shared" si="79"/>
      </c>
      <c r="DK95" s="128">
        <f t="shared" si="80"/>
      </c>
      <c r="DL95" s="128"/>
      <c r="DM95" s="21" t="str">
        <f t="shared" si="81"/>
        <v>169.2.1。【說明：原實際條件成就時間為169.1.1，惟因必須配合學期而延至當學期結束之次日，始能退休生效，爰推算為169.2.1】</v>
      </c>
      <c r="DN95" s="2" t="str">
        <f t="shared" si="82"/>
        <v>169.1.1</v>
      </c>
      <c r="DO95" s="2"/>
      <c r="DP95" s="2"/>
      <c r="DQ95" s="2"/>
      <c r="DR95" s="2"/>
      <c r="DS95" s="2"/>
      <c r="DT95" s="2"/>
      <c r="DU95" s="2"/>
      <c r="DV95" s="10"/>
      <c r="DW95" s="2">
        <f t="shared" si="83"/>
        <v>169</v>
      </c>
      <c r="DX95" s="2" t="str">
        <f t="shared" si="84"/>
        <v>◆但@*%#...喔麥尬～上開生效日期已逾121年底的過渡期，仍否再適用指標數規定，恐有疑義！</v>
      </c>
      <c r="DY95" s="34"/>
      <c r="DZ95" s="7">
        <f t="shared" si="85"/>
        <v>1</v>
      </c>
      <c r="EA95" s="123">
        <f t="shared" si="86"/>
        <v>0</v>
      </c>
      <c r="EB95" s="211">
        <f t="shared" si="87"/>
      </c>
      <c r="EC95" s="210">
        <f t="shared" si="88"/>
      </c>
      <c r="ED95" s="210" t="e">
        <f t="shared" si="89"/>
        <v>#VALUE!</v>
      </c>
      <c r="EE95" s="34"/>
      <c r="EF95" s="34"/>
      <c r="EG95" s="34"/>
      <c r="EH95" s="34"/>
      <c r="EI95" s="34"/>
      <c r="EJ95" s="34"/>
      <c r="EK95" s="34"/>
      <c r="EL95" s="34"/>
      <c r="EM95" s="34"/>
      <c r="EN95" s="314"/>
      <c r="EO95" s="30"/>
      <c r="EP95" s="315"/>
      <c r="EQ95" s="315"/>
    </row>
    <row r="96" spans="1:147" s="29" customFormat="1" ht="15.75" customHeight="1" hidden="1" thickBot="1" thickTop="1">
      <c r="A96" s="143"/>
      <c r="B96" s="149">
        <f t="shared" si="98"/>
        <v>170</v>
      </c>
      <c r="C96" s="26">
        <f aca="true" t="shared" si="126" ref="C96:C113">VALUE(IF($S$5="公務人員",B96+1911&amp;"1231",B96+1911&amp;"1231"))</f>
        <v>20811231</v>
      </c>
      <c r="D96" s="26" t="str">
        <f aca="true" t="shared" si="127" ref="D96:D113">LEFT(C96,4)</f>
        <v>2081</v>
      </c>
      <c r="E96" s="26" t="str">
        <f aca="true" t="shared" si="128" ref="E96:E113">MID(C96,5,2)</f>
        <v>12</v>
      </c>
      <c r="F96" s="26" t="str">
        <f aca="true" t="shared" si="129" ref="F96:F113">RIGHT(C96,2)</f>
        <v>31</v>
      </c>
      <c r="G96" s="300">
        <f aca="true" t="shared" si="130" ref="G96:G113">DATE(D96,E96,F96)</f>
        <v>66476</v>
      </c>
      <c r="H96" s="116">
        <f t="shared" si="122"/>
        <v>80</v>
      </c>
      <c r="I96" s="116">
        <f aca="true" t="shared" si="131" ref="I96:I113">IF(IF(G96=DATE(YEAR(G96),MONTH(G96)+1,1)-1,IF(MONTH(G96)&gt;=MONTH($Z$8),MONTH(G96)-MONTH($Z$8),MONTH(4)+12-MONTH($Z$8)+1),IF(MONTH(G96)&gt;=MONTH($Z$8),MONTH(G96)-MONTH($Z$8)-(DAY(G96)&lt;DAY($Z$8))+12*(MONTH(G96)=MONTH($Z$8)),MONTH(G96)+12-MONTH($Z$8)-(DAY(G96)&lt;DAY($Z$8))))=12,0,IF(G96=DATE(YEAR(G96),MONTH(G96)+1,1)-1,IF(MONTH(G96)&gt;=MONTH($Z$8),MONTH(G96)-MONTH($Z$8),MONTH(4)+12-MONTH($Z$8)+1),IF(MONTH(G96)&gt;=MONTH($Z$8),MONTH(G96)-MONTH($Z$8)-(DAY(G96)&lt;DAY($Z$8))+12*(MONTH(G96)=MONTH($Z$8)),MONTH(G96)+12-MONTH($Z$8)-(DAY(G96)&lt;DAY($Z$8)))))</f>
        <v>4</v>
      </c>
      <c r="J96" s="26">
        <f aca="true" t="shared" si="132" ref="J96:J113">IF(BC88=1,"*",IF(G96=DATE(YEAR(G96),MONTH(G96)+1,1)-1,IF($Z$8=DATE(YEAR($Z$8),MONTH($Z$8)+1,1)-1,0,DAY(DATE(YEAR($Z$8),MONTH($Z$8)+1,1)-1)-DAY($Z$8)),IF(DAY(G96)&gt;=DAY($Z$8),DAY(G96)-DAY($Z$8),DATE(YEAR($Z$8),MONTH($Z$8)+1,1)-1-$Z$8+DAY(G96))))</f>
        <v>30</v>
      </c>
      <c r="K96" s="117">
        <f aca="true" t="shared" si="133" ref="K96:K113">IF($AD$9+$AD$10=0,H96,INT((((IF(OR(AND(I96+$U$10=11,J96+$W$10&gt;=30),I96+$U$10&gt;11),$S$10+H96+1,$S$10+H96))*12+(IF(AND(I96+$U$10=11,J96+$W$10&gt;=30),0,IF(J96+$W$10&gt;=30,MOD(I96+$U$10,12)+1,MOD(I96+$U$10,12)))))*30+((MOD(J96+$W$10,30)))-($S$9*12+$U$9)*30+$W$9)/360))</f>
        <v>82</v>
      </c>
      <c r="L96" s="117">
        <f aca="true" t="shared" si="134" ref="L96:L113">IF($AD$9+$AD$10=0,I96,IF(((MOD(J96+$W$10,30)))&lt;$W$9,MOD((IF(AND(I96+$U$10=11,J96+$W$10&gt;=30),0,IF(J96+$W$10&gt;=30,MOD(I96+$U$10,12)+1,MOD(I96+$U$10,12))))-$U$9-1,12),MOD((IF(AND(I96+$U$10=11,J96+$W$10&gt;=30),0,IF(J96+$W$10&gt;=30,MOD(I96+$U$10,12)+1,MOD(I96+$U$10,12))))-$U$9,12)))</f>
        <v>3</v>
      </c>
      <c r="M96" s="117">
        <f aca="true" t="shared" si="135" ref="M96:M113">IF($AD$9+$AD$10=0,J96,MOD((MOD(J96+$W$10,30))-$W$9,30))</f>
        <v>8</v>
      </c>
      <c r="N96" s="574" t="str">
        <f aca="true" t="shared" si="136" ref="N96:N113">IF($S$5="公務人員",B96&amp;".1.1~"&amp;B96&amp;".12.31",B96&amp;".1.1~"&amp;B96&amp;".12.31")</f>
        <v>170.1.1~170.12.31</v>
      </c>
      <c r="O96" s="575"/>
      <c r="P96" s="575"/>
      <c r="Q96" s="576"/>
      <c r="R96" s="394">
        <v>60</v>
      </c>
      <c r="S96" s="391">
        <f aca="true" t="shared" si="137" ref="S96:S113">DATEDIF(DATE($S$7+1911,$U$7,$W$7),G96,"Y")</f>
        <v>112</v>
      </c>
      <c r="T96" s="392">
        <f aca="true" t="shared" si="138" ref="T96:T113">IF($Z$8&gt;G96,0,DATEDIF(DATE($AA$9+1911,$AB$9,$AC$9),G96,"Y"))</f>
        <v>82</v>
      </c>
      <c r="U96" s="393">
        <f aca="true" t="shared" si="139" ref="U96:U113">S96+T96</f>
        <v>194</v>
      </c>
      <c r="V96" s="148">
        <f aca="true" t="shared" si="140" ref="V96:V113">IF($S$7="","",IF($AN$7&gt;=$AN$8,IF(AH96=0,"",IF(AND(R96&lt;=90,R96&gt;58,AH96&gt;AH95),"★",IF(AND(R96="",AH96&gt;AH95),"★",""))),AT96))</f>
      </c>
      <c r="W96" s="580">
        <f t="shared" si="120"/>
      </c>
      <c r="X96" s="581"/>
      <c r="Y96" s="581"/>
      <c r="Z96" s="582"/>
      <c r="AA96" s="249">
        <f aca="true" t="shared" si="141" ref="AA96:AA113">IF($S$7="","",IF(ISERROR(MATCH("●",$AB$31:$AB$113,0))=FALSE,"",IF(S96&gt;65,"",IF(T96&lt;25,"",IF(AND(S96&gt;=50,T96&gt;=25),"●","")))))</f>
      </c>
      <c r="AB96" s="248">
        <f aca="true" t="shared" si="142" ref="AB96:AB113">IF($S$7="","",IF(S96&gt;58,"",IF(T96&lt;25,"",IF(AND(S96&gt;=5,T96&gt;=25,B96&gt;$AC$173),"○",IF(AND(S96&gt;=5,T96&gt;=25),"●",IF(AND(S96&gt;=5,T96&gt;=25,OR(AB95="○",AB95="●")),"○",""))))))</f>
      </c>
      <c r="AC96" s="330">
        <f aca="true" t="shared" si="143" ref="AC96:AC113">IF($S$7="","",IF(BB96="","",IF(BB96="●","★",-1*BB96)))</f>
      </c>
      <c r="AD96" s="102"/>
      <c r="AE96" s="118">
        <f aca="true" t="shared" si="144" ref="AE96:AE113">IF($Y$8&gt;=20180701,0,IF(OR(AND(C96&lt;20270101,S96&gt;=50,T96&gt;=25,U96&gt;=R96),AND(C96&lt;20330101,S96&gt;=55,T96&gt;=25,U96&gt;=R96)),1,0))</f>
        <v>0</v>
      </c>
      <c r="AF96" s="118">
        <f aca="true" t="shared" si="145" ref="AF96:AF113">IF(OR(AND(S96&lt;65,S96&gt;=60,T96&gt;=15),AND(S96&lt;65,S96&gt;=58,T96&gt;=25)),1,0)</f>
        <v>0</v>
      </c>
      <c r="AG96" s="118">
        <f t="shared" si="121"/>
        <v>1</v>
      </c>
      <c r="AH96" s="118">
        <f>IF(OR(AE96+AF96+AG96&gt;0,SUM($AE$30:AG95)&gt;0),1,0)</f>
        <v>1</v>
      </c>
      <c r="AI96" s="118">
        <f aca="true" t="shared" si="146" ref="AI96:AI113">IF(AND(C96&lt;20270101,AE96=1),"符合【年資≧25年&amp;年齡≧50歲】且【年資＋年齡≧當年法定指標數】之擇領全額月退休金條件",IF(AND(C96&lt;20330101,AE96=1),"符合【年資≧25年&amp;年齡≧55歲】且【年資＋年齡≧當年法定指標數】之擇領全額月退休金條件",""))</f>
      </c>
      <c r="AJ96" s="118">
        <f aca="true" t="shared" si="147" ref="AJ96:AJ113">IF(AE96=1,"",IF(AF96=1,"符合「年齡滿58歲、年資滿25年」或「年齡滿60歲、年資滿15年」之擇領月退休金條件",""))</f>
      </c>
      <c r="AK96" s="118" t="str">
        <f aca="true" t="shared" si="148" ref="AK96:AK113">IF(AE96=1,"",IF(AG96=1,"符合「年齡滿65歲、年資滿15年」之擇領月退休金條件",""))</f>
        <v>符合「年齡滿65歲、年資滿15年」之擇領月退休金條件</v>
      </c>
      <c r="AL96" s="118" t="str">
        <f t="shared" si="112"/>
        <v>符合「年齡滿65歲、年資滿15年」之擇領月退休金條件</v>
      </c>
      <c r="AM96" s="119">
        <f t="shared" si="113"/>
        <v>0</v>
      </c>
      <c r="AN96" s="119">
        <f t="shared" si="114"/>
        <v>1</v>
      </c>
      <c r="AO96" s="119" t="str">
        <f t="shared" si="115"/>
        <v>符合</v>
      </c>
      <c r="AP96" s="119">
        <f t="shared" si="116"/>
        <v>112</v>
      </c>
      <c r="AQ96" s="119">
        <f t="shared" si="117"/>
        <v>20811231</v>
      </c>
      <c r="AR96" s="119" t="str">
        <f t="shared" si="118"/>
        <v>170.1.1~170.12.31</v>
      </c>
      <c r="AS96" s="120">
        <f aca="true" t="shared" si="149" ref="AS96:AS113">IF(AP96&gt;65,"",IF($AN$7&gt;$AN$8,"",IF(AM96&gt;0,"★您將於"&amp;AR96&amp;"之間達到屆齡退休限齡，但因年資未滿15年，無法擇領月退休金",IF(AN96&gt;0,"★您將於"&amp;AR96&amp;"之間達到屆齡退休限齡，且因年資已滿15年，可以擇領月退休金",""))))</f>
      </c>
      <c r="AT96" s="121">
        <f t="shared" si="119"/>
      </c>
      <c r="AU96" s="121">
        <f aca="true" t="shared" si="150" ref="AU96:AU113">IF(OR(AND(C96&lt;20270101,S96&gt;=50,T96&gt;=25),AND(C96&lt;20330101,S96&gt;=55,T96&gt;=25),AND(S96&gt;=58,T96&gt;=15),AND(S96=65,T96&gt;=15)),1,0)</f>
        <v>1</v>
      </c>
      <c r="AV96" s="119">
        <f aca="true" t="shared" si="151" ref="AV96:AV113">IF(AU96=AU95,"",IF(AU96=0,"","★"))</f>
      </c>
      <c r="AW96" s="122">
        <f aca="true" t="shared" si="152" ref="AW96:AW113">IF(R96&lt;$AW$24,IF($AN$7&gt;$AN$8,IF(AH96=0,"",IF(AH96=AH95,"","您將在下方推算結果，達到"&amp;AL96)),AS96),IF($AN$7&gt;=$AN$8,IF(AH96=0,"",IF(AH96=AH95,"","您將在下方推算結果，達到"&amp;AL96)),AS96))</f>
      </c>
      <c r="AX96" s="31">
        <f aca="true" t="shared" si="153" ref="AX96:AX113">IF(AND(T96&gt;=25,S96&gt;=58),0,IF(AND(T96&gt;=25,S96&gt;=50),1,0))</f>
        <v>0</v>
      </c>
      <c r="AY96" s="7">
        <f aca="true" t="shared" si="154" ref="AY96:AY113">IF(S96&gt;=65,1,IF(OR(AND(T96&gt;=15,S96&gt;=65),AND(T96&gt;=15,S96&gt;=58)),1,0))</f>
        <v>1</v>
      </c>
      <c r="AZ96" s="123">
        <f aca="true" t="shared" si="155" ref="AZ96:AZ113">IF(S96&gt;=65,1,IF(AND(T96&gt;=15,S96&gt;=65),1,0))</f>
        <v>1</v>
      </c>
      <c r="BA96" s="123">
        <f aca="true" t="shared" si="156" ref="BA96:BA113">IF(AND(AY97=1,AY96=1),0,IF(AND(AY97=1,AY96=0),0.04,IF(AND(AY98=1,AY96=0),0.08,IF(AND(AY99=1,AY96=0),0.12,IF(AND(AY100=1,AY96=0),0.16,IF(AND(AY101=1,AY96=0),0.2,0))))))</f>
        <v>0</v>
      </c>
      <c r="BB96" s="123">
        <f aca="true" t="shared" si="157" ref="BB96:BB113">IF(T96&lt;25,"",IF(BA95=0.04,"●",IF(BA96&gt;0,BA96,"")))</f>
      </c>
      <c r="BC96" s="33"/>
      <c r="BD96" s="33"/>
      <c r="BE96" s="33"/>
      <c r="BF96" s="33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4"/>
      <c r="BT96" s="34"/>
      <c r="BU96" s="34"/>
      <c r="BV96" s="34"/>
      <c r="BW96" s="179">
        <f aca="true" t="shared" si="158" ref="BW96:BW113">IF($U$9+$U$10+$W$9+$W$10=0,$W$8,IF(AND($U$9-$U$10=0,$W$9-$W$10=0),$W$8,IF(M96=0,1,IF(AND(MOD(D96,4)=0,CD96=2),29-M96+1,IF(AND(MOD(D96,4)&gt;0,CD96=2),28-M96+1,IF(OR(CD96=4,CD96=6,CD96=9,CD96=11),30-M96+1,31-M96+1))))))</f>
        <v>23</v>
      </c>
      <c r="BX96" s="7">
        <f aca="true" t="shared" si="159" ref="BX96:BX113">IF($S$9+$S$10+$U$9+$U$10+$W$9+$W$10=0,$CD$9,IF(AND(L96=0,M96=0),1,IF(AND(L96&gt;0,M96=0),12-L96+1,12-L96)))</f>
        <v>9</v>
      </c>
      <c r="BY96" s="20">
        <f t="shared" si="123"/>
        <v>170</v>
      </c>
      <c r="BZ96" s="2" t="str">
        <f aca="true" t="shared" si="160" ref="BZ96:BZ113">BY96&amp;"."&amp;CA96&amp;"."&amp;CB96</f>
        <v>170.2.5</v>
      </c>
      <c r="CA96" s="181">
        <f aca="true" t="shared" si="161" ref="CA96:CA113">$U$7</f>
        <v>2</v>
      </c>
      <c r="CB96" s="2">
        <f aca="true" t="shared" si="162" ref="CB96:CB113">$W$7</f>
        <v>5</v>
      </c>
      <c r="CC96" s="2" t="str">
        <f aca="true" t="shared" si="163" ref="CC96:CC113">BY96&amp;"."&amp;CD96&amp;"."&amp;CE96</f>
        <v>170.9.28</v>
      </c>
      <c r="CD96" s="181">
        <f t="shared" si="95"/>
        <v>9</v>
      </c>
      <c r="CE96" s="2">
        <f t="shared" si="96"/>
        <v>28</v>
      </c>
      <c r="CF96" s="2" t="str">
        <f aca="true" t="shared" si="164" ref="CF96:CF113">IF(CA96&gt;CD96,"初任",IF(CA96&lt;CD96,"生日",IF(CB96&gt;CE96,"初任","生日")))</f>
        <v>生日</v>
      </c>
      <c r="CG96" s="2" t="str">
        <f aca="true" t="shared" si="165" ref="CG96:CG113">IF(CA96&gt;CD96,CC96,IF(CA96&lt;CD96,BZ96,IF(CB96&gt;CE96,CC96,BZ96)))</f>
        <v>170.2.5</v>
      </c>
      <c r="CH96" s="2">
        <f aca="true" t="shared" si="166" ref="CH96:CH113">IF(CF96="生日",CA96,CD96)</f>
        <v>2</v>
      </c>
      <c r="CI96" s="2" t="str">
        <f aca="true" t="shared" si="167" ref="CI96:CI113">IF(CA96&gt;CD96,"生日",IF(CA96&lt;CD96,"初任",IF(CB96&gt;CE96,"生日","初任")))</f>
        <v>初任</v>
      </c>
      <c r="CJ96" s="2" t="str">
        <f aca="true" t="shared" si="168" ref="CJ96:CJ113">IF(BZ96=CG96,CC96,BZ96)</f>
        <v>170.9.28</v>
      </c>
      <c r="CK96" s="2">
        <f aca="true" t="shared" si="169" ref="CK96:CK113">IF(CI96="生日",CA96,CD96)</f>
        <v>9</v>
      </c>
      <c r="CL96" s="2">
        <f aca="true" t="shared" si="170" ref="CL96:CL113">IF(AW96="",0,1)</f>
        <v>0</v>
      </c>
      <c r="CM96" s="339">
        <f aca="true" t="shared" si="171" ref="CM96:CM113">IF(CL96=0,"",IF(R96="",90,IF(AND(OR(S96=65,AF96=1),OR(AND(C96&lt;=20261231,S96&gt;=50,T96&gt;=25,U96&gt;=R96),AND(C96&lt;=20321231,S96&gt;=55,T96&gt;=25,U96&gt;=R96))),5875,IF(S96=65,65,IF(AF96=1,90,IF(OR(AND(C96&lt;=20261231,S96&gt;=50,T96&gt;=25,U96&gt;=R96),AND(C96&lt;=20321231,S96&gt;=55,T96&gt;=25,U96&gt;=R96)),75))))))</f>
      </c>
      <c r="CN96" s="2">
        <f aca="true" t="shared" si="172" ref="CN96:CN113">IF(CM96="","",IF(R96="","",U96-R96))</f>
      </c>
      <c r="CO96" s="2">
        <f aca="true" t="shared" si="173" ref="CO96:CO113">IF(CN96=0,CJ96,"")</f>
      </c>
      <c r="CP96" s="2">
        <f aca="true" t="shared" si="174" ref="CP96:CP113">IF(CO96=BZ96,CA96,IF(CO96=CC96,CD96,""))</f>
      </c>
      <c r="CQ96" s="2">
        <f aca="true" t="shared" si="175" ref="CQ96:CQ167">IF(CP96="","",IF(CP96=1,BY96&amp;".2.1。【說明：原實際條件成就之日期為"&amp;CO96&amp;"，惟因須配合學期而延至當學期結束之次日，始能退休生效，爰推算為"&amp;BY96&amp;".2.1】",IF(AND(CP96&lt;=7,CP96&gt;1),BY96&amp;".8.1。【說明：原實際條件成就之日期為"&amp;CO96&amp;"，惟因須配合學期而延至當學年度結束之次日，始能退休生效，爰推算為"&amp;BY96&amp;".8.1】",IF(OR(AND(CP96&gt;7,OR(CA96=1,CD96=1)),AND(CP96&gt;7,OR(RIGHT(BZ96,4)=".2.1",RIGHT(CC96,4)=".2.1"))),BY96+1&amp;".2.1。【說明：原實際條件成就之日期為"&amp;CO96&amp;"，惟因須配合學期而延至當學期結束之次日，始能退休生效，爰推算為"&amp;BY96+1&amp;".2.1】",""))))</f>
      </c>
      <c r="CR96" s="2">
        <f t="shared" si="124"/>
      </c>
      <c r="CS96" s="128">
        <f t="shared" si="125"/>
      </c>
      <c r="CT96" s="2">
        <f aca="true" t="shared" si="176" ref="CT96:CT113">IF(AND(CN96=1,S96=BT96,T96&gt;25),BZ96,IF(AND(CN96=1,S96&gt;BT96,T96=25),CC96,IF(AND(CN96=1,S96&gt;BT96,T96&gt;25),BY96&amp;".1.1","")))</f>
      </c>
      <c r="CU96" s="2">
        <f aca="true" t="shared" si="177" ref="CU96:CU113">IF(CT96=BY96&amp;".1.1",1,IF(CT96=BZ96,CA96,IF(CT96=CC96,CD96,"")))</f>
      </c>
      <c r="CV96" s="128">
        <f aca="true" t="shared" si="178" ref="CV96:CV113">IF(CU96="","",IF(RIGHT(CT96,4)=".8.1",BY96&amp;".8.1",IF(RIGHT(CT96,4)=".2.1",BY96&amp;".2.1",IF(CU96=1,BY96&amp;".2.1。【說明：原實際條件成就時間為"&amp;CT96&amp;"，惟因必須配合學期而延至當學期結束之次日，始能退休生效，爰推算為"&amp;BY96&amp;".2.1】",IF(AND(CU96&gt;1,CU96&lt;=7),BY96&amp;".8.1。【說明：原實際條件成就時間為"&amp;CT96&amp;"，惟因必須配合學期而延至當學期結束之次日，始能退休生效，爰推算為"&amp;BY96&amp;".8.1】",BY96+1&amp;".2.1。【說明：實際條件成就時間為"&amp;CT96&amp;"，惟因必須配合學期而延至當學期結束之次日，始能退休生效，爰推算為"&amp;BY96+1&amp;".2.1】")))))</f>
      </c>
      <c r="CW96" s="2" t="str">
        <f aca="true" t="shared" si="179" ref="CW96:CW113">IF(AND(CN96&gt;=2,S96=BT96,T96&gt;25),BZ96,IF(AND(CN96&gt;=2,S96&gt;BT96,T96=25),CC96,IF(AND(CN96&gt;=2,S96&gt;BT96,T96&gt;25),BY96&amp;".1.1","")))</f>
        <v>170.1.1</v>
      </c>
      <c r="CX96" s="2">
        <f aca="true" t="shared" si="180" ref="CX96:CX113">IF(CW96=BY96&amp;".1.1",1,IF(CW96=BZ96,CA96,IF(CW96=CC96,CD96,"")))</f>
        <v>1</v>
      </c>
      <c r="CY96" s="128" t="str">
        <f aca="true" t="shared" si="181" ref="CY96:CY113">IF(CX96="","",IF(RIGHT(CW96,4)=".8.1",BY96&amp;".8.1",IF(RIGHT(CW96,4)=".2.1",BY96&amp;".2.1",IF(AND(BY96&lt;=107,CW96=BY96&amp;".1.1"),BY96&amp;".1.1"&amp;"以前。【說明：亦即新法案施行前已符規定，可擇領月退休金之退休日期，在緩衝期間將不受新法案影響】",IF(CX96=1,BY96&amp;".2.1。【說明：原實際條件成就時間為"&amp;CW96&amp;"，惟因必須配合學期而延至當學期結束之次日，始能退休生效，爰推算為"&amp;BY96&amp;".2.1】",IF(AND(CX96&lt;=7,CX96&gt;1),BY96&amp;".8.1。【說明：原實際條件成就時間為"&amp;CW96&amp;"，惟因必須配合學期而延至當學期結束之次日，始能退休生效，爰推算為"&amp;BY96&amp;".8.1】",BY96+1&amp;".2.1。【說明：原實際條件成就時間為"&amp;CW96&amp;"，惟因必須配合學期而延至當學期結束之次日，始能退休生效，爰推算為"&amp;BY96+1&amp;".2.1】"))))))</f>
        <v>170.2.1。【說明：原實際條件成就時間為170.1.1，惟因必須配合學期而延至當學期結束之次日，始能退休生效，爰推算為170.2.1】</v>
      </c>
      <c r="CZ96" s="2">
        <f aca="true" t="shared" si="182" ref="CZ96:CZ143">IF(AND(OR(CM96=90,CM96=5875),S96=58,T96=25),CK96,IF(AND(OR(CM96=90,CM96=5875),S96&gt;58,T96=25),CD96,IF(AND(OR(CM96=90,CM96=5875),S96=58,T96&gt;25),CA96,"")))</f>
      </c>
      <c r="DA96" s="2">
        <f aca="true" t="shared" si="183" ref="DA96:DA143">IF(AND(OR(CM96=90,CM96=5875),S96=58,T96=25),CJ96,IF(AND(OR(CM96=90,CM96=5875),S96&gt;58,T96=25),CC96,IF(AND(OR(CM96=90,CM96=5875),S96=58,T96&gt;25),BZ96,"")))</f>
      </c>
      <c r="DB96" s="128">
        <f aca="true" t="shared" si="184" ref="DB96:DB143">IF(CZ96="","",IF(RIGHT(DA96,4)=".8.1",BY96&amp;".8.1",IF(RIGHT(DA96,4)=".2.1",BY96&amp;".2.1",IF(CZ96=1,BY96&amp;".2.1。【說明：原實際條件成就時間為"&amp;DA96&amp;"，惟因必須配合學期而延至當學期結束之次日，始能退休生效，爰推算為"&amp;BY96&amp;".2.1】",IF(AND(CZ96&lt;=7,CZ96&gt;1),BY96&amp;".8.1。【說明：原實際條件成就時間為"&amp;DA96&amp;"，惟因必須配合學期而延至當學期結束之次日，始能退休生效，爰推算為"&amp;BY96&amp;".8.1】",BY96+1&amp;".2.1。【說明：原實際條件成就時間為"&amp;DA96&amp;"，惟因必須配合學期而延至當學期結束之次日，始能退休生效，爰推算為"&amp;BY96+1&amp;".2.1】")))))</f>
      </c>
      <c r="DC96" s="2">
        <f aca="true" t="shared" si="185" ref="DC96:DC143">IF(AND(OR(CM96=90,CM96=5875),S96=60,T96=15),CK96,IF(AND(OR(CM96=90,CM96=5875),S96&gt;60,T96=15),CD96,IF(AND(OR(CM96=90,CM96=5875),S96=60,T96&gt;15),CA96,"")))</f>
      </c>
      <c r="DD96" s="2">
        <f aca="true" t="shared" si="186" ref="DD96:DD143">IF(AND(OR(CM96=90,CM96=5875),S96=60,T96=15),CJ96,IF(AND(OR(CM96=90,CM96=5875),S96&gt;60,T96=15),CC96,IF(AND(OR(CM96=90,CM96=5875),S96=60,T96&gt;15),BZ96,"")))</f>
      </c>
      <c r="DE96" s="128">
        <f aca="true" t="shared" si="187" ref="DE96:DE143">IF(DC96="","",IF(RIGHT(DD96,4)=".8.1",BY96&amp;".8.1",IF(RIGHT(DD96,4)=".2.1",BY96&amp;".2.1",IF(DC96=1,BY96&amp;".2.1。【說明：原實際條件成就時間為"&amp;DD96&amp;"，惟因必須配合學期而延至當學期結束之次日，始能退休生效，爰推算為"&amp;BY96&amp;".2.1】",IF(AND(DC96&lt;=7,DC96&gt;1),BY96&amp;".8.1。【說明：原實際條件成就時間為"&amp;DD96&amp;"，惟因必須配合學期而延至當學期結束之次日，始能退休生效，爰推算為"&amp;BY96&amp;".8.1】",BY96+1&amp;".2.1。【說明：原實際條件成就時間為"&amp;DD96&amp;"，惟因必須配合學期而延至當學期結束之次日，始能退休生效，爰推算為"&amp;BY96+1&amp;".2.1】")))))</f>
      </c>
      <c r="DF96" s="2"/>
      <c r="DG96" s="2"/>
      <c r="DH96" s="128"/>
      <c r="DI96" s="2">
        <f aca="true" t="shared" si="188" ref="DI96:DI143">IF(OR(OR(AND(C96&lt;=20261231,S96=65,T96&gt;=25,U96&gt;=R96),AND(C96&lt;=20321231,S96=65,T96&gt;=25,U96&gt;=R96)),CM96=65),CA96,"")</f>
      </c>
      <c r="DJ96" s="2">
        <f aca="true" t="shared" si="189" ref="DJ96:DJ143">IF(OR(OR(AND(C96&lt;=20261231,S96=65,T96&gt;=25,U96&gt;=R96),AND(C96&lt;=20321231,S96=65,T96&gt;=25,U96&gt;=R96)),CM96=65),BZ96,"")</f>
      </c>
      <c r="DK96" s="128">
        <f aca="true" t="shared" si="190" ref="DK96:DK113">IF(DI96="","",IF(RIGHT(DJ96,4)=".8.1",BY96&amp;".8.1",IF(RIGHT(DJ96,4)=".2.1",BY96&amp;".2.1",IF(DI96=1,BY96&amp;".2.1。【說明：原實際條件成就時間為"&amp;DJ96&amp;"，惟因必須配合學期而延至當學期結束之次日，始能退休生效，爰推算為"&amp;BY96&amp;".2.1】",IF(AND(DI96&lt;=7,DI96&gt;1),BY96&amp;".8.1。【說明：原實際條件成就時間為"&amp;DJ96&amp;"，惟因必須配合學期而延至當學年度結束之次日，始能退休生效，爰推算為"&amp;BY96&amp;".8.1】",BY96+1&amp;".2.1。【說明：原實際條件成就時間為"&amp;DJ96&amp;"，惟因必須配合學期而延至當學期結束之次日，始能退休生效，爰推算為"&amp;BY96+1&amp;".2.1】")))))</f>
      </c>
      <c r="DL96" s="128"/>
      <c r="DM96" s="21" t="str">
        <f aca="true" t="shared" si="191" ref="DM96:DM113">CONCATENATE(CS96,CV96,CY96,DB96,DE96,DH96,DK96)</f>
        <v>170.2.1。【說明：原實際條件成就時間為170.1.1，惟因必須配合學期而延至當學期結束之次日，始能退休生效，爰推算為170.2.1】</v>
      </c>
      <c r="DN96" s="2" t="str">
        <f aca="true" t="shared" si="192" ref="DN96:DN113">CONCATENATE(CO96,CT96,CW96,DA96,DD96,DG96,DJ96)</f>
        <v>170.1.1</v>
      </c>
      <c r="DO96" s="2"/>
      <c r="DP96" s="2"/>
      <c r="DQ96" s="2"/>
      <c r="DR96" s="2"/>
      <c r="DS96" s="2"/>
      <c r="DT96" s="2"/>
      <c r="DU96" s="2"/>
      <c r="DV96" s="10"/>
      <c r="DW96" s="2">
        <f aca="true" t="shared" si="193" ref="DW96:DW113">IF(DM96="","",VALUE(LEFT(DM96,3)))</f>
        <v>170</v>
      </c>
      <c r="DX96" s="2" t="str">
        <f aca="true" t="shared" si="194" ref="DX96:DX113">IF(DW96="","",IF(AND(R96&lt;=90,R96&gt;58,DW96&gt;=122),"◆但@*%#...喔麥尬～上開生效日期已逾121年底的過渡期，仍否再適用指標數規定，恐有疑義！",""))</f>
        <v>◆但@*%#...喔麥尬～上開生效日期已逾121年底的過渡期，仍否再適用指標數規定，恐有疑義！</v>
      </c>
      <c r="DY96" s="34"/>
      <c r="DZ96" s="7">
        <f aca="true" t="shared" si="195" ref="DZ96:DZ113">IF(AND(T96&gt;=25,S96&gt;=55),1,0)</f>
        <v>1</v>
      </c>
      <c r="EA96" s="123">
        <f aca="true" t="shared" si="196" ref="EA96:EA113">IF(T96&gt;=25,IF(AND(DZ97=1,DZ96=1),0,IF(AND(DZ97=1,DZ96=0),0.04,IF(AND(DZ98=1,DZ96=0),0.08,IF(AND(DZ99=1,DZ96=0),0.12,IF(AND(DZ100=1,DZ96=0),0.16,IF(AND(DZ101=1,DZ96=0),0.2,0)))))),0)</f>
        <v>0</v>
      </c>
      <c r="EB96" s="211">
        <f aca="true" t="shared" si="197" ref="EB96:EB113">IF(AND(S96&gt;60,T96&gt;=25),"",IF(AND(S96&gt;=50,T96&gt;=25),"●",""))</f>
      </c>
      <c r="EC96" s="210">
        <f aca="true" t="shared" si="198" ref="EC96:EC113">IF(AND(S96&gt;60,T96&gt;=25),"",IF(AND(S96&gt;=50,T96&gt;=25),"●",""))</f>
      </c>
      <c r="ED96" s="210" t="e">
        <f aca="true" t="shared" si="199" ref="ED96:ED113">IF(AND(T96&gt;=25,S96&gt;=55),-1*BB96,"")</f>
        <v>#VALUE!</v>
      </c>
      <c r="EE96" s="34"/>
      <c r="EF96" s="34"/>
      <c r="EG96" s="34"/>
      <c r="EH96" s="34"/>
      <c r="EI96" s="34"/>
      <c r="EJ96" s="34"/>
      <c r="EK96" s="34"/>
      <c r="EL96" s="34"/>
      <c r="EM96" s="34"/>
      <c r="EN96" s="314"/>
      <c r="EO96" s="30"/>
      <c r="EP96" s="315"/>
      <c r="EQ96" s="315"/>
    </row>
    <row r="97" spans="1:147" s="29" customFormat="1" ht="15.75" customHeight="1" hidden="1" thickBot="1" thickTop="1">
      <c r="A97" s="143"/>
      <c r="B97" s="149">
        <f aca="true" t="shared" si="200" ref="B97:B113">B96+1</f>
        <v>171</v>
      </c>
      <c r="C97" s="26">
        <f t="shared" si="126"/>
        <v>20821231</v>
      </c>
      <c r="D97" s="26" t="str">
        <f t="shared" si="127"/>
        <v>2082</v>
      </c>
      <c r="E97" s="26" t="str">
        <f t="shared" si="128"/>
        <v>12</v>
      </c>
      <c r="F97" s="26" t="str">
        <f t="shared" si="129"/>
        <v>31</v>
      </c>
      <c r="G97" s="300">
        <f t="shared" si="130"/>
        <v>66841</v>
      </c>
      <c r="H97" s="116">
        <f t="shared" si="122"/>
        <v>81</v>
      </c>
      <c r="I97" s="116">
        <f t="shared" si="131"/>
        <v>4</v>
      </c>
      <c r="J97" s="26">
        <f t="shared" si="132"/>
        <v>30</v>
      </c>
      <c r="K97" s="117">
        <f t="shared" si="133"/>
        <v>83</v>
      </c>
      <c r="L97" s="117">
        <f t="shared" si="134"/>
        <v>3</v>
      </c>
      <c r="M97" s="117">
        <f t="shared" si="135"/>
        <v>8</v>
      </c>
      <c r="N97" s="574" t="str">
        <f t="shared" si="136"/>
        <v>171.1.1~171.12.31</v>
      </c>
      <c r="O97" s="575"/>
      <c r="P97" s="575"/>
      <c r="Q97" s="576"/>
      <c r="R97" s="394">
        <v>60</v>
      </c>
      <c r="S97" s="391">
        <f t="shared" si="137"/>
        <v>113</v>
      </c>
      <c r="T97" s="392">
        <f t="shared" si="138"/>
        <v>83</v>
      </c>
      <c r="U97" s="393">
        <f t="shared" si="139"/>
        <v>196</v>
      </c>
      <c r="V97" s="148">
        <f t="shared" si="140"/>
      </c>
      <c r="W97" s="580">
        <f t="shared" si="120"/>
      </c>
      <c r="X97" s="581"/>
      <c r="Y97" s="581"/>
      <c r="Z97" s="582"/>
      <c r="AA97" s="249">
        <f t="shared" si="141"/>
      </c>
      <c r="AB97" s="248">
        <f t="shared" si="142"/>
      </c>
      <c r="AC97" s="330">
        <f t="shared" si="143"/>
      </c>
      <c r="AD97" s="102"/>
      <c r="AE97" s="118">
        <f t="shared" si="144"/>
        <v>0</v>
      </c>
      <c r="AF97" s="118">
        <f t="shared" si="145"/>
        <v>0</v>
      </c>
      <c r="AG97" s="118">
        <f t="shared" si="121"/>
        <v>1</v>
      </c>
      <c r="AH97" s="118">
        <f>IF(OR(AE97+AF97+AG97&gt;0,SUM($AE$30:AG96)&gt;0),1,0)</f>
        <v>1</v>
      </c>
      <c r="AI97" s="118">
        <f t="shared" si="146"/>
      </c>
      <c r="AJ97" s="118">
        <f t="shared" si="147"/>
      </c>
      <c r="AK97" s="118" t="str">
        <f t="shared" si="148"/>
        <v>符合「年齡滿65歲、年資滿15年」之擇領月退休金條件</v>
      </c>
      <c r="AL97" s="118" t="str">
        <f t="shared" si="112"/>
        <v>符合「年齡滿65歲、年資滿15年」之擇領月退休金條件</v>
      </c>
      <c r="AM97" s="119">
        <f t="shared" si="113"/>
        <v>0</v>
      </c>
      <c r="AN97" s="119">
        <f t="shared" si="114"/>
        <v>1</v>
      </c>
      <c r="AO97" s="119" t="str">
        <f t="shared" si="115"/>
        <v>符合</v>
      </c>
      <c r="AP97" s="119">
        <f t="shared" si="116"/>
        <v>113</v>
      </c>
      <c r="AQ97" s="119">
        <f t="shared" si="117"/>
        <v>20821231</v>
      </c>
      <c r="AR97" s="119" t="str">
        <f t="shared" si="118"/>
        <v>171.1.1~171.12.31</v>
      </c>
      <c r="AS97" s="120">
        <f t="shared" si="149"/>
      </c>
      <c r="AT97" s="121">
        <f t="shared" si="119"/>
      </c>
      <c r="AU97" s="121">
        <f t="shared" si="150"/>
        <v>1</v>
      </c>
      <c r="AV97" s="119">
        <f t="shared" si="151"/>
      </c>
      <c r="AW97" s="122">
        <f t="shared" si="152"/>
      </c>
      <c r="AX97" s="31">
        <f t="shared" si="153"/>
        <v>0</v>
      </c>
      <c r="AY97" s="7">
        <f t="shared" si="154"/>
        <v>1</v>
      </c>
      <c r="AZ97" s="123">
        <f t="shared" si="155"/>
        <v>1</v>
      </c>
      <c r="BA97" s="123">
        <f t="shared" si="156"/>
        <v>0</v>
      </c>
      <c r="BB97" s="123">
        <f t="shared" si="157"/>
      </c>
      <c r="BC97" s="33"/>
      <c r="BD97" s="33"/>
      <c r="BE97" s="33"/>
      <c r="BF97" s="33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4"/>
      <c r="BT97" s="34"/>
      <c r="BU97" s="34"/>
      <c r="BV97" s="34"/>
      <c r="BW97" s="179">
        <f t="shared" si="158"/>
        <v>23</v>
      </c>
      <c r="BX97" s="7">
        <f t="shared" si="159"/>
        <v>9</v>
      </c>
      <c r="BY97" s="20">
        <f t="shared" si="123"/>
        <v>171</v>
      </c>
      <c r="BZ97" s="2" t="str">
        <f t="shared" si="160"/>
        <v>171.2.5</v>
      </c>
      <c r="CA97" s="181">
        <f t="shared" si="161"/>
        <v>2</v>
      </c>
      <c r="CB97" s="2">
        <f t="shared" si="162"/>
        <v>5</v>
      </c>
      <c r="CC97" s="2" t="str">
        <f t="shared" si="163"/>
        <v>171.9.28</v>
      </c>
      <c r="CD97" s="181">
        <f aca="true" t="shared" si="201" ref="CD97:CD113">CD96</f>
        <v>9</v>
      </c>
      <c r="CE97" s="2">
        <f aca="true" t="shared" si="202" ref="CE97:CE113">CE96</f>
        <v>28</v>
      </c>
      <c r="CF97" s="2" t="str">
        <f t="shared" si="164"/>
        <v>生日</v>
      </c>
      <c r="CG97" s="2" t="str">
        <f t="shared" si="165"/>
        <v>171.2.5</v>
      </c>
      <c r="CH97" s="2">
        <f t="shared" si="166"/>
        <v>2</v>
      </c>
      <c r="CI97" s="2" t="str">
        <f t="shared" si="167"/>
        <v>初任</v>
      </c>
      <c r="CJ97" s="2" t="str">
        <f t="shared" si="168"/>
        <v>171.9.28</v>
      </c>
      <c r="CK97" s="2">
        <f t="shared" si="169"/>
        <v>9</v>
      </c>
      <c r="CL97" s="2">
        <f t="shared" si="170"/>
        <v>0</v>
      </c>
      <c r="CM97" s="339">
        <f t="shared" si="171"/>
      </c>
      <c r="CN97" s="2">
        <f t="shared" si="172"/>
      </c>
      <c r="CO97" s="2">
        <f t="shared" si="173"/>
      </c>
      <c r="CP97" s="2">
        <f t="shared" si="174"/>
      </c>
      <c r="CQ97" s="2">
        <f t="shared" si="175"/>
      </c>
      <c r="CR97" s="2">
        <f t="shared" si="124"/>
      </c>
      <c r="CS97" s="128">
        <f t="shared" si="125"/>
      </c>
      <c r="CT97" s="2">
        <f t="shared" si="176"/>
      </c>
      <c r="CU97" s="2">
        <f t="shared" si="177"/>
      </c>
      <c r="CV97" s="128">
        <f t="shared" si="178"/>
      </c>
      <c r="CW97" s="2" t="str">
        <f t="shared" si="179"/>
        <v>171.1.1</v>
      </c>
      <c r="CX97" s="2">
        <f t="shared" si="180"/>
        <v>1</v>
      </c>
      <c r="CY97" s="128" t="str">
        <f t="shared" si="181"/>
        <v>171.2.1。【說明：原實際條件成就時間為171.1.1，惟因必須配合學期而延至當學期結束之次日，始能退休生效，爰推算為171.2.1】</v>
      </c>
      <c r="CZ97" s="2">
        <f t="shared" si="182"/>
      </c>
      <c r="DA97" s="2">
        <f t="shared" si="183"/>
      </c>
      <c r="DB97" s="128">
        <f t="shared" si="184"/>
      </c>
      <c r="DC97" s="2">
        <f t="shared" si="185"/>
      </c>
      <c r="DD97" s="2">
        <f t="shared" si="186"/>
      </c>
      <c r="DE97" s="128">
        <f t="shared" si="187"/>
      </c>
      <c r="DF97" s="2"/>
      <c r="DG97" s="2"/>
      <c r="DH97" s="128"/>
      <c r="DI97" s="2">
        <f t="shared" si="188"/>
      </c>
      <c r="DJ97" s="2">
        <f t="shared" si="189"/>
      </c>
      <c r="DK97" s="128">
        <f t="shared" si="190"/>
      </c>
      <c r="DL97" s="128"/>
      <c r="DM97" s="21" t="str">
        <f t="shared" si="191"/>
        <v>171.2.1。【說明：原實際條件成就時間為171.1.1，惟因必須配合學期而延至當學期結束之次日，始能退休生效，爰推算為171.2.1】</v>
      </c>
      <c r="DN97" s="2" t="str">
        <f t="shared" si="192"/>
        <v>171.1.1</v>
      </c>
      <c r="DO97" s="2"/>
      <c r="DP97" s="2"/>
      <c r="DQ97" s="2"/>
      <c r="DR97" s="2"/>
      <c r="DS97" s="2"/>
      <c r="DT97" s="2"/>
      <c r="DU97" s="2"/>
      <c r="DV97" s="10"/>
      <c r="DW97" s="2">
        <f t="shared" si="193"/>
        <v>171</v>
      </c>
      <c r="DX97" s="2" t="str">
        <f t="shared" si="194"/>
        <v>◆但@*%#...喔麥尬～上開生效日期已逾121年底的過渡期，仍否再適用指標數規定，恐有疑義！</v>
      </c>
      <c r="DY97" s="34"/>
      <c r="DZ97" s="7">
        <f t="shared" si="195"/>
        <v>1</v>
      </c>
      <c r="EA97" s="123">
        <f t="shared" si="196"/>
        <v>0</v>
      </c>
      <c r="EB97" s="211">
        <f t="shared" si="197"/>
      </c>
      <c r="EC97" s="210">
        <f t="shared" si="198"/>
      </c>
      <c r="ED97" s="210" t="e">
        <f t="shared" si="199"/>
        <v>#VALUE!</v>
      </c>
      <c r="EE97" s="34"/>
      <c r="EF97" s="34"/>
      <c r="EG97" s="34"/>
      <c r="EH97" s="34"/>
      <c r="EI97" s="34"/>
      <c r="EJ97" s="34"/>
      <c r="EK97" s="34"/>
      <c r="EL97" s="34"/>
      <c r="EM97" s="34"/>
      <c r="EN97" s="314"/>
      <c r="EO97" s="30"/>
      <c r="EP97" s="315"/>
      <c r="EQ97" s="315"/>
    </row>
    <row r="98" spans="1:147" s="29" customFormat="1" ht="15.75" customHeight="1" hidden="1" thickBot="1" thickTop="1">
      <c r="A98" s="143"/>
      <c r="B98" s="149">
        <f t="shared" si="200"/>
        <v>172</v>
      </c>
      <c r="C98" s="26">
        <f t="shared" si="126"/>
        <v>20831231</v>
      </c>
      <c r="D98" s="26" t="str">
        <f t="shared" si="127"/>
        <v>2083</v>
      </c>
      <c r="E98" s="26" t="str">
        <f t="shared" si="128"/>
        <v>12</v>
      </c>
      <c r="F98" s="26" t="str">
        <f t="shared" si="129"/>
        <v>31</v>
      </c>
      <c r="G98" s="300">
        <f t="shared" si="130"/>
        <v>67206</v>
      </c>
      <c r="H98" s="116">
        <f t="shared" si="122"/>
        <v>82</v>
      </c>
      <c r="I98" s="116">
        <f t="shared" si="131"/>
        <v>4</v>
      </c>
      <c r="J98" s="26">
        <f t="shared" si="132"/>
        <v>30</v>
      </c>
      <c r="K98" s="117">
        <f t="shared" si="133"/>
        <v>84</v>
      </c>
      <c r="L98" s="117">
        <f t="shared" si="134"/>
        <v>3</v>
      </c>
      <c r="M98" s="117">
        <f t="shared" si="135"/>
        <v>8</v>
      </c>
      <c r="N98" s="574" t="str">
        <f t="shared" si="136"/>
        <v>172.1.1~172.12.31</v>
      </c>
      <c r="O98" s="575"/>
      <c r="P98" s="575"/>
      <c r="Q98" s="576"/>
      <c r="R98" s="394">
        <v>60</v>
      </c>
      <c r="S98" s="391">
        <f t="shared" si="137"/>
        <v>114</v>
      </c>
      <c r="T98" s="392">
        <f t="shared" si="138"/>
        <v>84</v>
      </c>
      <c r="U98" s="393">
        <f t="shared" si="139"/>
        <v>198</v>
      </c>
      <c r="V98" s="148">
        <f t="shared" si="140"/>
      </c>
      <c r="W98" s="580">
        <f t="shared" si="120"/>
      </c>
      <c r="X98" s="581"/>
      <c r="Y98" s="581"/>
      <c r="Z98" s="582"/>
      <c r="AA98" s="249">
        <f t="shared" si="141"/>
      </c>
      <c r="AB98" s="248">
        <f t="shared" si="142"/>
      </c>
      <c r="AC98" s="330">
        <f t="shared" si="143"/>
      </c>
      <c r="AD98" s="102"/>
      <c r="AE98" s="118">
        <f t="shared" si="144"/>
        <v>0</v>
      </c>
      <c r="AF98" s="118">
        <f t="shared" si="145"/>
        <v>0</v>
      </c>
      <c r="AG98" s="118">
        <f t="shared" si="121"/>
        <v>1</v>
      </c>
      <c r="AH98" s="118">
        <f>IF(OR(AE98+AF98+AG98&gt;0,SUM($AE$30:AG97)&gt;0),1,0)</f>
        <v>1</v>
      </c>
      <c r="AI98" s="118">
        <f t="shared" si="146"/>
      </c>
      <c r="AJ98" s="118">
        <f t="shared" si="147"/>
      </c>
      <c r="AK98" s="118" t="str">
        <f t="shared" si="148"/>
        <v>符合「年齡滿65歲、年資滿15年」之擇領月退休金條件</v>
      </c>
      <c r="AL98" s="118" t="str">
        <f t="shared" si="112"/>
        <v>符合「年齡滿65歲、年資滿15年」之擇領月退休金條件</v>
      </c>
      <c r="AM98" s="119">
        <f t="shared" si="113"/>
        <v>0</v>
      </c>
      <c r="AN98" s="119">
        <f t="shared" si="114"/>
        <v>1</v>
      </c>
      <c r="AO98" s="119" t="str">
        <f t="shared" si="115"/>
        <v>符合</v>
      </c>
      <c r="AP98" s="119">
        <f t="shared" si="116"/>
        <v>114</v>
      </c>
      <c r="AQ98" s="119">
        <f t="shared" si="117"/>
        <v>20831231</v>
      </c>
      <c r="AR98" s="119" t="str">
        <f t="shared" si="118"/>
        <v>172.1.1~172.12.31</v>
      </c>
      <c r="AS98" s="120">
        <f t="shared" si="149"/>
      </c>
      <c r="AT98" s="121">
        <f t="shared" si="119"/>
      </c>
      <c r="AU98" s="121">
        <f t="shared" si="150"/>
        <v>1</v>
      </c>
      <c r="AV98" s="119">
        <f t="shared" si="151"/>
      </c>
      <c r="AW98" s="122">
        <f t="shared" si="152"/>
      </c>
      <c r="AX98" s="31">
        <f t="shared" si="153"/>
        <v>0</v>
      </c>
      <c r="AY98" s="7">
        <f t="shared" si="154"/>
        <v>1</v>
      </c>
      <c r="AZ98" s="123">
        <f t="shared" si="155"/>
        <v>1</v>
      </c>
      <c r="BA98" s="123">
        <f t="shared" si="156"/>
        <v>0</v>
      </c>
      <c r="BB98" s="123">
        <f t="shared" si="157"/>
      </c>
      <c r="BC98" s="33"/>
      <c r="BD98" s="33"/>
      <c r="BE98" s="33"/>
      <c r="BF98" s="33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4"/>
      <c r="BT98" s="34"/>
      <c r="BU98" s="34"/>
      <c r="BV98" s="34"/>
      <c r="BW98" s="179">
        <f t="shared" si="158"/>
        <v>23</v>
      </c>
      <c r="BX98" s="7">
        <f t="shared" si="159"/>
        <v>9</v>
      </c>
      <c r="BY98" s="20">
        <f t="shared" si="123"/>
        <v>172</v>
      </c>
      <c r="BZ98" s="2" t="str">
        <f t="shared" si="160"/>
        <v>172.2.5</v>
      </c>
      <c r="CA98" s="181">
        <f t="shared" si="161"/>
        <v>2</v>
      </c>
      <c r="CB98" s="2">
        <f t="shared" si="162"/>
        <v>5</v>
      </c>
      <c r="CC98" s="2" t="str">
        <f t="shared" si="163"/>
        <v>172.9.28</v>
      </c>
      <c r="CD98" s="181">
        <f t="shared" si="201"/>
        <v>9</v>
      </c>
      <c r="CE98" s="2">
        <f t="shared" si="202"/>
        <v>28</v>
      </c>
      <c r="CF98" s="2" t="str">
        <f t="shared" si="164"/>
        <v>生日</v>
      </c>
      <c r="CG98" s="2" t="str">
        <f t="shared" si="165"/>
        <v>172.2.5</v>
      </c>
      <c r="CH98" s="2">
        <f t="shared" si="166"/>
        <v>2</v>
      </c>
      <c r="CI98" s="2" t="str">
        <f t="shared" si="167"/>
        <v>初任</v>
      </c>
      <c r="CJ98" s="2" t="str">
        <f t="shared" si="168"/>
        <v>172.9.28</v>
      </c>
      <c r="CK98" s="2">
        <f t="shared" si="169"/>
        <v>9</v>
      </c>
      <c r="CL98" s="2">
        <f t="shared" si="170"/>
        <v>0</v>
      </c>
      <c r="CM98" s="339">
        <f t="shared" si="171"/>
      </c>
      <c r="CN98" s="2">
        <f t="shared" si="172"/>
      </c>
      <c r="CO98" s="2">
        <f t="shared" si="173"/>
      </c>
      <c r="CP98" s="2">
        <f t="shared" si="174"/>
      </c>
      <c r="CQ98" s="2">
        <f t="shared" si="175"/>
      </c>
      <c r="CR98" s="2">
        <f t="shared" si="124"/>
      </c>
      <c r="CS98" s="128">
        <f t="shared" si="125"/>
      </c>
      <c r="CT98" s="2">
        <f t="shared" si="176"/>
      </c>
      <c r="CU98" s="2">
        <f t="shared" si="177"/>
      </c>
      <c r="CV98" s="128">
        <f t="shared" si="178"/>
      </c>
      <c r="CW98" s="2" t="str">
        <f t="shared" si="179"/>
        <v>172.1.1</v>
      </c>
      <c r="CX98" s="2">
        <f t="shared" si="180"/>
        <v>1</v>
      </c>
      <c r="CY98" s="128" t="str">
        <f t="shared" si="181"/>
        <v>172.2.1。【說明：原實際條件成就時間為172.1.1，惟因必須配合學期而延至當學期結束之次日，始能退休生效，爰推算為172.2.1】</v>
      </c>
      <c r="CZ98" s="2">
        <f t="shared" si="182"/>
      </c>
      <c r="DA98" s="2">
        <f t="shared" si="183"/>
      </c>
      <c r="DB98" s="128">
        <f t="shared" si="184"/>
      </c>
      <c r="DC98" s="2">
        <f t="shared" si="185"/>
      </c>
      <c r="DD98" s="2">
        <f t="shared" si="186"/>
      </c>
      <c r="DE98" s="128">
        <f t="shared" si="187"/>
      </c>
      <c r="DF98" s="2"/>
      <c r="DG98" s="2"/>
      <c r="DH98" s="128"/>
      <c r="DI98" s="2">
        <f t="shared" si="188"/>
      </c>
      <c r="DJ98" s="2">
        <f t="shared" si="189"/>
      </c>
      <c r="DK98" s="128">
        <f t="shared" si="190"/>
      </c>
      <c r="DL98" s="128"/>
      <c r="DM98" s="21" t="str">
        <f t="shared" si="191"/>
        <v>172.2.1。【說明：原實際條件成就時間為172.1.1，惟因必須配合學期而延至當學期結束之次日，始能退休生效，爰推算為172.2.1】</v>
      </c>
      <c r="DN98" s="2" t="str">
        <f t="shared" si="192"/>
        <v>172.1.1</v>
      </c>
      <c r="DO98" s="2"/>
      <c r="DP98" s="2"/>
      <c r="DQ98" s="2"/>
      <c r="DR98" s="2"/>
      <c r="DS98" s="2"/>
      <c r="DT98" s="2"/>
      <c r="DU98" s="2"/>
      <c r="DV98" s="10"/>
      <c r="DW98" s="2">
        <f t="shared" si="193"/>
        <v>172</v>
      </c>
      <c r="DX98" s="2" t="str">
        <f t="shared" si="194"/>
        <v>◆但@*%#...喔麥尬～上開生效日期已逾121年底的過渡期，仍否再適用指標數規定，恐有疑義！</v>
      </c>
      <c r="DY98" s="34"/>
      <c r="DZ98" s="7">
        <f t="shared" si="195"/>
        <v>1</v>
      </c>
      <c r="EA98" s="123">
        <f t="shared" si="196"/>
        <v>0</v>
      </c>
      <c r="EB98" s="211">
        <f t="shared" si="197"/>
      </c>
      <c r="EC98" s="210">
        <f t="shared" si="198"/>
      </c>
      <c r="ED98" s="210" t="e">
        <f t="shared" si="199"/>
        <v>#VALUE!</v>
      </c>
      <c r="EE98" s="34"/>
      <c r="EF98" s="34"/>
      <c r="EG98" s="34"/>
      <c r="EH98" s="34"/>
      <c r="EI98" s="34"/>
      <c r="EJ98" s="34"/>
      <c r="EK98" s="34"/>
      <c r="EL98" s="34"/>
      <c r="EM98" s="34"/>
      <c r="EN98" s="314"/>
      <c r="EO98" s="30"/>
      <c r="EP98" s="315"/>
      <c r="EQ98" s="315"/>
    </row>
    <row r="99" spans="1:147" s="29" customFormat="1" ht="15.75" customHeight="1" hidden="1" thickBot="1" thickTop="1">
      <c r="A99" s="143"/>
      <c r="B99" s="149">
        <f t="shared" si="200"/>
        <v>173</v>
      </c>
      <c r="C99" s="26">
        <f t="shared" si="126"/>
        <v>20841231</v>
      </c>
      <c r="D99" s="26" t="str">
        <f t="shared" si="127"/>
        <v>2084</v>
      </c>
      <c r="E99" s="26" t="str">
        <f t="shared" si="128"/>
        <v>12</v>
      </c>
      <c r="F99" s="26" t="str">
        <f t="shared" si="129"/>
        <v>31</v>
      </c>
      <c r="G99" s="300">
        <f t="shared" si="130"/>
        <v>67572</v>
      </c>
      <c r="H99" s="116">
        <f t="shared" si="122"/>
        <v>83</v>
      </c>
      <c r="I99" s="116">
        <f t="shared" si="131"/>
        <v>4</v>
      </c>
      <c r="J99" s="26">
        <f t="shared" si="132"/>
        <v>30</v>
      </c>
      <c r="K99" s="117">
        <f t="shared" si="133"/>
        <v>85</v>
      </c>
      <c r="L99" s="117">
        <f t="shared" si="134"/>
        <v>3</v>
      </c>
      <c r="M99" s="117">
        <f t="shared" si="135"/>
        <v>8</v>
      </c>
      <c r="N99" s="574" t="str">
        <f t="shared" si="136"/>
        <v>173.1.1~173.12.31</v>
      </c>
      <c r="O99" s="575"/>
      <c r="P99" s="575"/>
      <c r="Q99" s="576"/>
      <c r="R99" s="394">
        <v>60</v>
      </c>
      <c r="S99" s="391">
        <f t="shared" si="137"/>
        <v>115</v>
      </c>
      <c r="T99" s="392">
        <f t="shared" si="138"/>
        <v>85</v>
      </c>
      <c r="U99" s="393">
        <f t="shared" si="139"/>
        <v>200</v>
      </c>
      <c r="V99" s="148">
        <f t="shared" si="140"/>
      </c>
      <c r="W99" s="580">
        <f t="shared" si="120"/>
      </c>
      <c r="X99" s="581"/>
      <c r="Y99" s="581"/>
      <c r="Z99" s="582"/>
      <c r="AA99" s="249">
        <f t="shared" si="141"/>
      </c>
      <c r="AB99" s="248">
        <f t="shared" si="142"/>
      </c>
      <c r="AC99" s="330">
        <f t="shared" si="143"/>
      </c>
      <c r="AD99" s="102"/>
      <c r="AE99" s="118">
        <f t="shared" si="144"/>
        <v>0</v>
      </c>
      <c r="AF99" s="118">
        <f t="shared" si="145"/>
        <v>0</v>
      </c>
      <c r="AG99" s="118">
        <f t="shared" si="121"/>
        <v>1</v>
      </c>
      <c r="AH99" s="118">
        <f>IF(OR(AE99+AF99+AG99&gt;0,SUM($AE$30:AG98)&gt;0),1,0)</f>
        <v>1</v>
      </c>
      <c r="AI99" s="118">
        <f t="shared" si="146"/>
      </c>
      <c r="AJ99" s="118">
        <f t="shared" si="147"/>
      </c>
      <c r="AK99" s="118" t="str">
        <f t="shared" si="148"/>
        <v>符合「年齡滿65歲、年資滿15年」之擇領月退休金條件</v>
      </c>
      <c r="AL99" s="118" t="str">
        <f t="shared" si="112"/>
        <v>符合「年齡滿65歲、年資滿15年」之擇領月退休金條件</v>
      </c>
      <c r="AM99" s="119">
        <f t="shared" si="113"/>
        <v>0</v>
      </c>
      <c r="AN99" s="119">
        <f t="shared" si="114"/>
        <v>1</v>
      </c>
      <c r="AO99" s="119" t="str">
        <f t="shared" si="115"/>
        <v>符合</v>
      </c>
      <c r="AP99" s="119">
        <f t="shared" si="116"/>
        <v>115</v>
      </c>
      <c r="AQ99" s="119">
        <f t="shared" si="117"/>
        <v>20841231</v>
      </c>
      <c r="AR99" s="119" t="str">
        <f t="shared" si="118"/>
        <v>173.1.1~173.12.31</v>
      </c>
      <c r="AS99" s="120">
        <f t="shared" si="149"/>
      </c>
      <c r="AT99" s="121">
        <f t="shared" si="119"/>
      </c>
      <c r="AU99" s="121">
        <f t="shared" si="150"/>
        <v>1</v>
      </c>
      <c r="AV99" s="119">
        <f t="shared" si="151"/>
      </c>
      <c r="AW99" s="122">
        <f t="shared" si="152"/>
      </c>
      <c r="AX99" s="31">
        <f t="shared" si="153"/>
        <v>0</v>
      </c>
      <c r="AY99" s="7">
        <f t="shared" si="154"/>
        <v>1</v>
      </c>
      <c r="AZ99" s="123">
        <f t="shared" si="155"/>
        <v>1</v>
      </c>
      <c r="BA99" s="123">
        <f t="shared" si="156"/>
        <v>0</v>
      </c>
      <c r="BB99" s="123">
        <f t="shared" si="157"/>
      </c>
      <c r="BC99" s="33"/>
      <c r="BD99" s="33"/>
      <c r="BE99" s="33"/>
      <c r="BF99" s="33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4"/>
      <c r="BT99" s="34"/>
      <c r="BU99" s="34"/>
      <c r="BV99" s="34"/>
      <c r="BW99" s="179">
        <f t="shared" si="158"/>
        <v>23</v>
      </c>
      <c r="BX99" s="7">
        <f t="shared" si="159"/>
        <v>9</v>
      </c>
      <c r="BY99" s="20">
        <f t="shared" si="123"/>
        <v>173</v>
      </c>
      <c r="BZ99" s="2" t="str">
        <f t="shared" si="160"/>
        <v>173.2.5</v>
      </c>
      <c r="CA99" s="181">
        <f t="shared" si="161"/>
        <v>2</v>
      </c>
      <c r="CB99" s="2">
        <f t="shared" si="162"/>
        <v>5</v>
      </c>
      <c r="CC99" s="2" t="str">
        <f t="shared" si="163"/>
        <v>173.9.28</v>
      </c>
      <c r="CD99" s="181">
        <f t="shared" si="201"/>
        <v>9</v>
      </c>
      <c r="CE99" s="2">
        <f t="shared" si="202"/>
        <v>28</v>
      </c>
      <c r="CF99" s="2" t="str">
        <f t="shared" si="164"/>
        <v>生日</v>
      </c>
      <c r="CG99" s="2" t="str">
        <f t="shared" si="165"/>
        <v>173.2.5</v>
      </c>
      <c r="CH99" s="2">
        <f t="shared" si="166"/>
        <v>2</v>
      </c>
      <c r="CI99" s="2" t="str">
        <f t="shared" si="167"/>
        <v>初任</v>
      </c>
      <c r="CJ99" s="2" t="str">
        <f t="shared" si="168"/>
        <v>173.9.28</v>
      </c>
      <c r="CK99" s="2">
        <f t="shared" si="169"/>
        <v>9</v>
      </c>
      <c r="CL99" s="2">
        <f t="shared" si="170"/>
        <v>0</v>
      </c>
      <c r="CM99" s="339">
        <f t="shared" si="171"/>
      </c>
      <c r="CN99" s="2">
        <f t="shared" si="172"/>
      </c>
      <c r="CO99" s="2">
        <f t="shared" si="173"/>
      </c>
      <c r="CP99" s="2">
        <f t="shared" si="174"/>
      </c>
      <c r="CQ99" s="2">
        <f t="shared" si="175"/>
      </c>
      <c r="CR99" s="2">
        <f t="shared" si="124"/>
      </c>
      <c r="CS99" s="128">
        <f t="shared" si="125"/>
      </c>
      <c r="CT99" s="2">
        <f t="shared" si="176"/>
      </c>
      <c r="CU99" s="2">
        <f t="shared" si="177"/>
      </c>
      <c r="CV99" s="128">
        <f t="shared" si="178"/>
      </c>
      <c r="CW99" s="2" t="str">
        <f t="shared" si="179"/>
        <v>173.1.1</v>
      </c>
      <c r="CX99" s="2">
        <f t="shared" si="180"/>
        <v>1</v>
      </c>
      <c r="CY99" s="128" t="str">
        <f t="shared" si="181"/>
        <v>173.2.1。【說明：原實際條件成就時間為173.1.1，惟因必須配合學期而延至當學期結束之次日，始能退休生效，爰推算為173.2.1】</v>
      </c>
      <c r="CZ99" s="2">
        <f t="shared" si="182"/>
      </c>
      <c r="DA99" s="2">
        <f t="shared" si="183"/>
      </c>
      <c r="DB99" s="128">
        <f t="shared" si="184"/>
      </c>
      <c r="DC99" s="2">
        <f t="shared" si="185"/>
      </c>
      <c r="DD99" s="2">
        <f t="shared" si="186"/>
      </c>
      <c r="DE99" s="128">
        <f t="shared" si="187"/>
      </c>
      <c r="DF99" s="2"/>
      <c r="DG99" s="2"/>
      <c r="DH99" s="128"/>
      <c r="DI99" s="2">
        <f t="shared" si="188"/>
      </c>
      <c r="DJ99" s="2">
        <f t="shared" si="189"/>
      </c>
      <c r="DK99" s="128">
        <f t="shared" si="190"/>
      </c>
      <c r="DL99" s="128"/>
      <c r="DM99" s="21" t="str">
        <f t="shared" si="191"/>
        <v>173.2.1。【說明：原實際條件成就時間為173.1.1，惟因必須配合學期而延至當學期結束之次日，始能退休生效，爰推算為173.2.1】</v>
      </c>
      <c r="DN99" s="2" t="str">
        <f t="shared" si="192"/>
        <v>173.1.1</v>
      </c>
      <c r="DO99" s="2"/>
      <c r="DP99" s="2"/>
      <c r="DQ99" s="2"/>
      <c r="DR99" s="2"/>
      <c r="DS99" s="2"/>
      <c r="DT99" s="2"/>
      <c r="DU99" s="2"/>
      <c r="DV99" s="10"/>
      <c r="DW99" s="2">
        <f t="shared" si="193"/>
        <v>173</v>
      </c>
      <c r="DX99" s="2" t="str">
        <f t="shared" si="194"/>
        <v>◆但@*%#...喔麥尬～上開生效日期已逾121年底的過渡期，仍否再適用指標數規定，恐有疑義！</v>
      </c>
      <c r="DY99" s="34"/>
      <c r="DZ99" s="7">
        <f t="shared" si="195"/>
        <v>1</v>
      </c>
      <c r="EA99" s="123">
        <f t="shared" si="196"/>
        <v>0</v>
      </c>
      <c r="EB99" s="211">
        <f t="shared" si="197"/>
      </c>
      <c r="EC99" s="210">
        <f t="shared" si="198"/>
      </c>
      <c r="ED99" s="210" t="e">
        <f t="shared" si="199"/>
        <v>#VALUE!</v>
      </c>
      <c r="EE99" s="34"/>
      <c r="EF99" s="34"/>
      <c r="EG99" s="34"/>
      <c r="EH99" s="34"/>
      <c r="EI99" s="34"/>
      <c r="EJ99" s="34"/>
      <c r="EK99" s="34"/>
      <c r="EL99" s="34"/>
      <c r="EM99" s="34"/>
      <c r="EN99" s="314"/>
      <c r="EO99" s="30"/>
      <c r="EP99" s="315"/>
      <c r="EQ99" s="315"/>
    </row>
    <row r="100" spans="1:147" s="29" customFormat="1" ht="15.75" customHeight="1" hidden="1" thickBot="1" thickTop="1">
      <c r="A100" s="143"/>
      <c r="B100" s="149">
        <f t="shared" si="200"/>
        <v>174</v>
      </c>
      <c r="C100" s="26">
        <f t="shared" si="126"/>
        <v>20851231</v>
      </c>
      <c r="D100" s="26" t="str">
        <f t="shared" si="127"/>
        <v>2085</v>
      </c>
      <c r="E100" s="26" t="str">
        <f t="shared" si="128"/>
        <v>12</v>
      </c>
      <c r="F100" s="26" t="str">
        <f t="shared" si="129"/>
        <v>31</v>
      </c>
      <c r="G100" s="300">
        <f t="shared" si="130"/>
        <v>67937</v>
      </c>
      <c r="H100" s="116">
        <f t="shared" si="122"/>
        <v>84</v>
      </c>
      <c r="I100" s="116">
        <f t="shared" si="131"/>
        <v>4</v>
      </c>
      <c r="J100" s="26">
        <f t="shared" si="132"/>
        <v>30</v>
      </c>
      <c r="K100" s="117">
        <f t="shared" si="133"/>
        <v>86</v>
      </c>
      <c r="L100" s="117">
        <f t="shared" si="134"/>
        <v>3</v>
      </c>
      <c r="M100" s="117">
        <f t="shared" si="135"/>
        <v>8</v>
      </c>
      <c r="N100" s="574" t="str">
        <f t="shared" si="136"/>
        <v>174.1.1~174.12.31</v>
      </c>
      <c r="O100" s="575"/>
      <c r="P100" s="575"/>
      <c r="Q100" s="576"/>
      <c r="R100" s="394">
        <v>60</v>
      </c>
      <c r="S100" s="391">
        <f t="shared" si="137"/>
        <v>116</v>
      </c>
      <c r="T100" s="392">
        <f t="shared" si="138"/>
        <v>86</v>
      </c>
      <c r="U100" s="393">
        <f t="shared" si="139"/>
        <v>202</v>
      </c>
      <c r="V100" s="148">
        <f t="shared" si="140"/>
      </c>
      <c r="W100" s="580">
        <f t="shared" si="120"/>
      </c>
      <c r="X100" s="581"/>
      <c r="Y100" s="581"/>
      <c r="Z100" s="582"/>
      <c r="AA100" s="249">
        <f t="shared" si="141"/>
      </c>
      <c r="AB100" s="248">
        <f t="shared" si="142"/>
      </c>
      <c r="AC100" s="330">
        <f t="shared" si="143"/>
      </c>
      <c r="AD100" s="102"/>
      <c r="AE100" s="118">
        <f t="shared" si="144"/>
        <v>0</v>
      </c>
      <c r="AF100" s="118">
        <f t="shared" si="145"/>
        <v>0</v>
      </c>
      <c r="AG100" s="118">
        <f t="shared" si="121"/>
        <v>1</v>
      </c>
      <c r="AH100" s="118">
        <f>IF(OR(AE100+AF100+AG100&gt;0,SUM($AE$30:AG99)&gt;0),1,0)</f>
        <v>1</v>
      </c>
      <c r="AI100" s="118">
        <f t="shared" si="146"/>
      </c>
      <c r="AJ100" s="118">
        <f t="shared" si="147"/>
      </c>
      <c r="AK100" s="118" t="str">
        <f t="shared" si="148"/>
        <v>符合「年齡滿65歲、年資滿15年」之擇領月退休金條件</v>
      </c>
      <c r="AL100" s="118" t="str">
        <f t="shared" si="112"/>
        <v>符合「年齡滿65歲、年資滿15年」之擇領月退休金條件</v>
      </c>
      <c r="AM100" s="119">
        <f t="shared" si="113"/>
        <v>0</v>
      </c>
      <c r="AN100" s="119">
        <f t="shared" si="114"/>
        <v>1</v>
      </c>
      <c r="AO100" s="119" t="str">
        <f t="shared" si="115"/>
        <v>符合</v>
      </c>
      <c r="AP100" s="119">
        <f t="shared" si="116"/>
        <v>116</v>
      </c>
      <c r="AQ100" s="119">
        <f t="shared" si="117"/>
        <v>20851231</v>
      </c>
      <c r="AR100" s="119" t="str">
        <f t="shared" si="118"/>
        <v>174.1.1~174.12.31</v>
      </c>
      <c r="AS100" s="120">
        <f t="shared" si="149"/>
      </c>
      <c r="AT100" s="121">
        <f t="shared" si="119"/>
      </c>
      <c r="AU100" s="121">
        <f t="shared" si="150"/>
        <v>1</v>
      </c>
      <c r="AV100" s="119">
        <f t="shared" si="151"/>
      </c>
      <c r="AW100" s="122">
        <f t="shared" si="152"/>
      </c>
      <c r="AX100" s="31">
        <f t="shared" si="153"/>
        <v>0</v>
      </c>
      <c r="AY100" s="7">
        <f t="shared" si="154"/>
        <v>1</v>
      </c>
      <c r="AZ100" s="123">
        <f t="shared" si="155"/>
        <v>1</v>
      </c>
      <c r="BA100" s="123">
        <f t="shared" si="156"/>
        <v>0</v>
      </c>
      <c r="BB100" s="123">
        <f t="shared" si="157"/>
      </c>
      <c r="BC100" s="33"/>
      <c r="BD100" s="33"/>
      <c r="BE100" s="33"/>
      <c r="BF100" s="33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4"/>
      <c r="BT100" s="34"/>
      <c r="BU100" s="34"/>
      <c r="BV100" s="34"/>
      <c r="BW100" s="179">
        <f t="shared" si="158"/>
        <v>23</v>
      </c>
      <c r="BX100" s="7">
        <f t="shared" si="159"/>
        <v>9</v>
      </c>
      <c r="BY100" s="20">
        <f t="shared" si="123"/>
        <v>174</v>
      </c>
      <c r="BZ100" s="2" t="str">
        <f t="shared" si="160"/>
        <v>174.2.5</v>
      </c>
      <c r="CA100" s="181">
        <f t="shared" si="161"/>
        <v>2</v>
      </c>
      <c r="CB100" s="2">
        <f t="shared" si="162"/>
        <v>5</v>
      </c>
      <c r="CC100" s="2" t="str">
        <f t="shared" si="163"/>
        <v>174.9.28</v>
      </c>
      <c r="CD100" s="181">
        <f t="shared" si="201"/>
        <v>9</v>
      </c>
      <c r="CE100" s="2">
        <f t="shared" si="202"/>
        <v>28</v>
      </c>
      <c r="CF100" s="2" t="str">
        <f t="shared" si="164"/>
        <v>生日</v>
      </c>
      <c r="CG100" s="2" t="str">
        <f t="shared" si="165"/>
        <v>174.2.5</v>
      </c>
      <c r="CH100" s="2">
        <f t="shared" si="166"/>
        <v>2</v>
      </c>
      <c r="CI100" s="2" t="str">
        <f t="shared" si="167"/>
        <v>初任</v>
      </c>
      <c r="CJ100" s="2" t="str">
        <f t="shared" si="168"/>
        <v>174.9.28</v>
      </c>
      <c r="CK100" s="2">
        <f t="shared" si="169"/>
        <v>9</v>
      </c>
      <c r="CL100" s="2">
        <f t="shared" si="170"/>
        <v>0</v>
      </c>
      <c r="CM100" s="339">
        <f t="shared" si="171"/>
      </c>
      <c r="CN100" s="2">
        <f t="shared" si="172"/>
      </c>
      <c r="CO100" s="2">
        <f t="shared" si="173"/>
      </c>
      <c r="CP100" s="2">
        <f t="shared" si="174"/>
      </c>
      <c r="CQ100" s="2">
        <f t="shared" si="175"/>
      </c>
      <c r="CR100" s="2">
        <f t="shared" si="124"/>
      </c>
      <c r="CS100" s="128">
        <f t="shared" si="125"/>
      </c>
      <c r="CT100" s="2">
        <f t="shared" si="176"/>
      </c>
      <c r="CU100" s="2">
        <f t="shared" si="177"/>
      </c>
      <c r="CV100" s="128">
        <f t="shared" si="178"/>
      </c>
      <c r="CW100" s="2" t="str">
        <f t="shared" si="179"/>
        <v>174.1.1</v>
      </c>
      <c r="CX100" s="2">
        <f t="shared" si="180"/>
        <v>1</v>
      </c>
      <c r="CY100" s="128" t="str">
        <f t="shared" si="181"/>
        <v>174.2.1。【說明：原實際條件成就時間為174.1.1，惟因必須配合學期而延至當學期結束之次日，始能退休生效，爰推算為174.2.1】</v>
      </c>
      <c r="CZ100" s="2">
        <f t="shared" si="182"/>
      </c>
      <c r="DA100" s="2">
        <f t="shared" si="183"/>
      </c>
      <c r="DB100" s="128">
        <f t="shared" si="184"/>
      </c>
      <c r="DC100" s="2">
        <f t="shared" si="185"/>
      </c>
      <c r="DD100" s="2">
        <f t="shared" si="186"/>
      </c>
      <c r="DE100" s="128">
        <f t="shared" si="187"/>
      </c>
      <c r="DF100" s="2"/>
      <c r="DG100" s="2"/>
      <c r="DH100" s="128"/>
      <c r="DI100" s="2">
        <f t="shared" si="188"/>
      </c>
      <c r="DJ100" s="2">
        <f t="shared" si="189"/>
      </c>
      <c r="DK100" s="128">
        <f t="shared" si="190"/>
      </c>
      <c r="DL100" s="128"/>
      <c r="DM100" s="21" t="str">
        <f t="shared" si="191"/>
        <v>174.2.1。【說明：原實際條件成就時間為174.1.1，惟因必須配合學期而延至當學期結束之次日，始能退休生效，爰推算為174.2.1】</v>
      </c>
      <c r="DN100" s="2" t="str">
        <f t="shared" si="192"/>
        <v>174.1.1</v>
      </c>
      <c r="DO100" s="2"/>
      <c r="DP100" s="2"/>
      <c r="DQ100" s="2"/>
      <c r="DR100" s="2"/>
      <c r="DS100" s="2"/>
      <c r="DT100" s="2"/>
      <c r="DU100" s="2"/>
      <c r="DV100" s="10"/>
      <c r="DW100" s="2">
        <f t="shared" si="193"/>
        <v>174</v>
      </c>
      <c r="DX100" s="2" t="str">
        <f t="shared" si="194"/>
        <v>◆但@*%#...喔麥尬～上開生效日期已逾121年底的過渡期，仍否再適用指標數規定，恐有疑義！</v>
      </c>
      <c r="DY100" s="34"/>
      <c r="DZ100" s="7">
        <f t="shared" si="195"/>
        <v>1</v>
      </c>
      <c r="EA100" s="123">
        <f t="shared" si="196"/>
        <v>0</v>
      </c>
      <c r="EB100" s="211">
        <f t="shared" si="197"/>
      </c>
      <c r="EC100" s="210">
        <f t="shared" si="198"/>
      </c>
      <c r="ED100" s="210" t="e">
        <f t="shared" si="199"/>
        <v>#VALUE!</v>
      </c>
      <c r="EE100" s="34"/>
      <c r="EF100" s="34"/>
      <c r="EG100" s="34"/>
      <c r="EH100" s="34"/>
      <c r="EI100" s="34"/>
      <c r="EJ100" s="34"/>
      <c r="EK100" s="34"/>
      <c r="EL100" s="34"/>
      <c r="EM100" s="34"/>
      <c r="EN100" s="314"/>
      <c r="EO100" s="30"/>
      <c r="EP100" s="315"/>
      <c r="EQ100" s="315"/>
    </row>
    <row r="101" spans="1:147" s="29" customFormat="1" ht="15.75" customHeight="1" hidden="1" thickBot="1" thickTop="1">
      <c r="A101" s="143"/>
      <c r="B101" s="149">
        <f t="shared" si="200"/>
        <v>175</v>
      </c>
      <c r="C101" s="26">
        <f t="shared" si="126"/>
        <v>20861231</v>
      </c>
      <c r="D101" s="26" t="str">
        <f t="shared" si="127"/>
        <v>2086</v>
      </c>
      <c r="E101" s="26" t="str">
        <f t="shared" si="128"/>
        <v>12</v>
      </c>
      <c r="F101" s="26" t="str">
        <f t="shared" si="129"/>
        <v>31</v>
      </c>
      <c r="G101" s="300">
        <f t="shared" si="130"/>
        <v>68302</v>
      </c>
      <c r="H101" s="116">
        <f t="shared" si="122"/>
        <v>85</v>
      </c>
      <c r="I101" s="116">
        <f t="shared" si="131"/>
        <v>4</v>
      </c>
      <c r="J101" s="26">
        <f t="shared" si="132"/>
        <v>30</v>
      </c>
      <c r="K101" s="117">
        <f t="shared" si="133"/>
        <v>87</v>
      </c>
      <c r="L101" s="117">
        <f t="shared" si="134"/>
        <v>3</v>
      </c>
      <c r="M101" s="117">
        <f t="shared" si="135"/>
        <v>8</v>
      </c>
      <c r="N101" s="574" t="str">
        <f t="shared" si="136"/>
        <v>175.1.1~175.12.31</v>
      </c>
      <c r="O101" s="575"/>
      <c r="P101" s="575"/>
      <c r="Q101" s="576"/>
      <c r="R101" s="394">
        <v>60</v>
      </c>
      <c r="S101" s="391">
        <f t="shared" si="137"/>
        <v>117</v>
      </c>
      <c r="T101" s="392">
        <f t="shared" si="138"/>
        <v>87</v>
      </c>
      <c r="U101" s="393">
        <f t="shared" si="139"/>
        <v>204</v>
      </c>
      <c r="V101" s="148">
        <f t="shared" si="140"/>
      </c>
      <c r="W101" s="580">
        <f t="shared" si="120"/>
      </c>
      <c r="X101" s="581"/>
      <c r="Y101" s="581"/>
      <c r="Z101" s="582"/>
      <c r="AA101" s="249">
        <f t="shared" si="141"/>
      </c>
      <c r="AB101" s="248">
        <f t="shared" si="142"/>
      </c>
      <c r="AC101" s="330">
        <f t="shared" si="143"/>
      </c>
      <c r="AD101" s="102"/>
      <c r="AE101" s="118">
        <f t="shared" si="144"/>
        <v>0</v>
      </c>
      <c r="AF101" s="118">
        <f t="shared" si="145"/>
        <v>0</v>
      </c>
      <c r="AG101" s="118">
        <f t="shared" si="121"/>
        <v>1</v>
      </c>
      <c r="AH101" s="118">
        <f>IF(OR(AE101+AF101+AG101&gt;0,SUM($AE$30:AG100)&gt;0),1,0)</f>
        <v>1</v>
      </c>
      <c r="AI101" s="118">
        <f t="shared" si="146"/>
      </c>
      <c r="AJ101" s="118">
        <f t="shared" si="147"/>
      </c>
      <c r="AK101" s="118" t="str">
        <f t="shared" si="148"/>
        <v>符合「年齡滿65歲、年資滿15年」之擇領月退休金條件</v>
      </c>
      <c r="AL101" s="118" t="str">
        <f t="shared" si="112"/>
        <v>符合「年齡滿65歲、年資滿15年」之擇領月退休金條件</v>
      </c>
      <c r="AM101" s="119">
        <f t="shared" si="113"/>
        <v>0</v>
      </c>
      <c r="AN101" s="119">
        <f t="shared" si="114"/>
        <v>1</v>
      </c>
      <c r="AO101" s="119" t="str">
        <f t="shared" si="115"/>
        <v>符合</v>
      </c>
      <c r="AP101" s="119">
        <f t="shared" si="116"/>
        <v>117</v>
      </c>
      <c r="AQ101" s="119">
        <f t="shared" si="117"/>
        <v>20861231</v>
      </c>
      <c r="AR101" s="119" t="str">
        <f t="shared" si="118"/>
        <v>175.1.1~175.12.31</v>
      </c>
      <c r="AS101" s="120">
        <f t="shared" si="149"/>
      </c>
      <c r="AT101" s="121">
        <f t="shared" si="119"/>
      </c>
      <c r="AU101" s="121">
        <f t="shared" si="150"/>
        <v>1</v>
      </c>
      <c r="AV101" s="119">
        <f t="shared" si="151"/>
      </c>
      <c r="AW101" s="122">
        <f t="shared" si="152"/>
      </c>
      <c r="AX101" s="31">
        <f t="shared" si="153"/>
        <v>0</v>
      </c>
      <c r="AY101" s="7">
        <f t="shared" si="154"/>
        <v>1</v>
      </c>
      <c r="AZ101" s="123">
        <f t="shared" si="155"/>
        <v>1</v>
      </c>
      <c r="BA101" s="123">
        <f t="shared" si="156"/>
        <v>0</v>
      </c>
      <c r="BB101" s="123">
        <f t="shared" si="157"/>
      </c>
      <c r="BC101" s="33"/>
      <c r="BD101" s="33"/>
      <c r="BE101" s="33"/>
      <c r="BF101" s="33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4"/>
      <c r="BT101" s="34"/>
      <c r="BU101" s="34"/>
      <c r="BV101" s="34"/>
      <c r="BW101" s="179">
        <f t="shared" si="158"/>
        <v>23</v>
      </c>
      <c r="BX101" s="7">
        <f t="shared" si="159"/>
        <v>9</v>
      </c>
      <c r="BY101" s="20">
        <f t="shared" si="123"/>
        <v>175</v>
      </c>
      <c r="BZ101" s="2" t="str">
        <f t="shared" si="160"/>
        <v>175.2.5</v>
      </c>
      <c r="CA101" s="181">
        <f t="shared" si="161"/>
        <v>2</v>
      </c>
      <c r="CB101" s="2">
        <f t="shared" si="162"/>
        <v>5</v>
      </c>
      <c r="CC101" s="2" t="str">
        <f t="shared" si="163"/>
        <v>175.9.28</v>
      </c>
      <c r="CD101" s="181">
        <f t="shared" si="201"/>
        <v>9</v>
      </c>
      <c r="CE101" s="2">
        <f t="shared" si="202"/>
        <v>28</v>
      </c>
      <c r="CF101" s="2" t="str">
        <f t="shared" si="164"/>
        <v>生日</v>
      </c>
      <c r="CG101" s="2" t="str">
        <f t="shared" si="165"/>
        <v>175.2.5</v>
      </c>
      <c r="CH101" s="2">
        <f t="shared" si="166"/>
        <v>2</v>
      </c>
      <c r="CI101" s="2" t="str">
        <f t="shared" si="167"/>
        <v>初任</v>
      </c>
      <c r="CJ101" s="2" t="str">
        <f t="shared" si="168"/>
        <v>175.9.28</v>
      </c>
      <c r="CK101" s="2">
        <f t="shared" si="169"/>
        <v>9</v>
      </c>
      <c r="CL101" s="2">
        <f t="shared" si="170"/>
        <v>0</v>
      </c>
      <c r="CM101" s="339">
        <f t="shared" si="171"/>
      </c>
      <c r="CN101" s="2">
        <f t="shared" si="172"/>
      </c>
      <c r="CO101" s="2">
        <f t="shared" si="173"/>
      </c>
      <c r="CP101" s="2">
        <f t="shared" si="174"/>
      </c>
      <c r="CQ101" s="2">
        <f t="shared" si="175"/>
      </c>
      <c r="CR101" s="2">
        <f t="shared" si="124"/>
      </c>
      <c r="CS101" s="128">
        <f t="shared" si="125"/>
      </c>
      <c r="CT101" s="2">
        <f t="shared" si="176"/>
      </c>
      <c r="CU101" s="2">
        <f t="shared" si="177"/>
      </c>
      <c r="CV101" s="128">
        <f t="shared" si="178"/>
      </c>
      <c r="CW101" s="2" t="str">
        <f t="shared" si="179"/>
        <v>175.1.1</v>
      </c>
      <c r="CX101" s="2">
        <f t="shared" si="180"/>
        <v>1</v>
      </c>
      <c r="CY101" s="128" t="str">
        <f t="shared" si="181"/>
        <v>175.2.1。【說明：原實際條件成就時間為175.1.1，惟因必須配合學期而延至當學期結束之次日，始能退休生效，爰推算為175.2.1】</v>
      </c>
      <c r="CZ101" s="2">
        <f t="shared" si="182"/>
      </c>
      <c r="DA101" s="2">
        <f t="shared" si="183"/>
      </c>
      <c r="DB101" s="128">
        <f t="shared" si="184"/>
      </c>
      <c r="DC101" s="2">
        <f t="shared" si="185"/>
      </c>
      <c r="DD101" s="2">
        <f t="shared" si="186"/>
      </c>
      <c r="DE101" s="128">
        <f t="shared" si="187"/>
      </c>
      <c r="DF101" s="2"/>
      <c r="DG101" s="2"/>
      <c r="DH101" s="128"/>
      <c r="DI101" s="2">
        <f t="shared" si="188"/>
      </c>
      <c r="DJ101" s="2">
        <f t="shared" si="189"/>
      </c>
      <c r="DK101" s="128">
        <f t="shared" si="190"/>
      </c>
      <c r="DL101" s="128"/>
      <c r="DM101" s="21" t="str">
        <f t="shared" si="191"/>
        <v>175.2.1。【說明：原實際條件成就時間為175.1.1，惟因必須配合學期而延至當學期結束之次日，始能退休生效，爰推算為175.2.1】</v>
      </c>
      <c r="DN101" s="2" t="str">
        <f t="shared" si="192"/>
        <v>175.1.1</v>
      </c>
      <c r="DO101" s="2"/>
      <c r="DP101" s="2"/>
      <c r="DQ101" s="2"/>
      <c r="DR101" s="2"/>
      <c r="DS101" s="2"/>
      <c r="DT101" s="2"/>
      <c r="DU101" s="2"/>
      <c r="DV101" s="10"/>
      <c r="DW101" s="2">
        <f t="shared" si="193"/>
        <v>175</v>
      </c>
      <c r="DX101" s="2" t="str">
        <f t="shared" si="194"/>
        <v>◆但@*%#...喔麥尬～上開生效日期已逾121年底的過渡期，仍否再適用指標數規定，恐有疑義！</v>
      </c>
      <c r="DY101" s="34"/>
      <c r="DZ101" s="7">
        <f t="shared" si="195"/>
        <v>1</v>
      </c>
      <c r="EA101" s="123">
        <f t="shared" si="196"/>
        <v>0</v>
      </c>
      <c r="EB101" s="211">
        <f t="shared" si="197"/>
      </c>
      <c r="EC101" s="210">
        <f t="shared" si="198"/>
      </c>
      <c r="ED101" s="210" t="e">
        <f t="shared" si="199"/>
        <v>#VALUE!</v>
      </c>
      <c r="EE101" s="34"/>
      <c r="EF101" s="34"/>
      <c r="EG101" s="34"/>
      <c r="EH101" s="34"/>
      <c r="EI101" s="34"/>
      <c r="EJ101" s="34"/>
      <c r="EK101" s="34"/>
      <c r="EL101" s="34"/>
      <c r="EM101" s="34"/>
      <c r="EN101" s="314"/>
      <c r="EO101" s="30"/>
      <c r="EP101" s="315"/>
      <c r="EQ101" s="315"/>
    </row>
    <row r="102" spans="1:147" s="29" customFormat="1" ht="15.75" customHeight="1" hidden="1" thickBot="1" thickTop="1">
      <c r="A102" s="143"/>
      <c r="B102" s="149">
        <f t="shared" si="200"/>
        <v>176</v>
      </c>
      <c r="C102" s="26">
        <f t="shared" si="126"/>
        <v>20871231</v>
      </c>
      <c r="D102" s="26" t="str">
        <f t="shared" si="127"/>
        <v>2087</v>
      </c>
      <c r="E102" s="26" t="str">
        <f t="shared" si="128"/>
        <v>12</v>
      </c>
      <c r="F102" s="26" t="str">
        <f t="shared" si="129"/>
        <v>31</v>
      </c>
      <c r="G102" s="300">
        <f t="shared" si="130"/>
        <v>68667</v>
      </c>
      <c r="H102" s="116">
        <f t="shared" si="122"/>
        <v>86</v>
      </c>
      <c r="I102" s="116">
        <f t="shared" si="131"/>
        <v>4</v>
      </c>
      <c r="J102" s="26">
        <f t="shared" si="132"/>
        <v>30</v>
      </c>
      <c r="K102" s="117">
        <f t="shared" si="133"/>
        <v>88</v>
      </c>
      <c r="L102" s="117">
        <f t="shared" si="134"/>
        <v>3</v>
      </c>
      <c r="M102" s="117">
        <f t="shared" si="135"/>
        <v>8</v>
      </c>
      <c r="N102" s="574" t="str">
        <f t="shared" si="136"/>
        <v>176.1.1~176.12.31</v>
      </c>
      <c r="O102" s="575"/>
      <c r="P102" s="575"/>
      <c r="Q102" s="576"/>
      <c r="R102" s="394">
        <v>60</v>
      </c>
      <c r="S102" s="391">
        <f t="shared" si="137"/>
        <v>118</v>
      </c>
      <c r="T102" s="392">
        <f t="shared" si="138"/>
        <v>88</v>
      </c>
      <c r="U102" s="393">
        <f t="shared" si="139"/>
        <v>206</v>
      </c>
      <c r="V102" s="148">
        <f t="shared" si="140"/>
      </c>
      <c r="W102" s="580">
        <f t="shared" si="120"/>
      </c>
      <c r="X102" s="581"/>
      <c r="Y102" s="581"/>
      <c r="Z102" s="582"/>
      <c r="AA102" s="249">
        <f t="shared" si="141"/>
      </c>
      <c r="AB102" s="248">
        <f t="shared" si="142"/>
      </c>
      <c r="AC102" s="330">
        <f t="shared" si="143"/>
      </c>
      <c r="AD102" s="102"/>
      <c r="AE102" s="118">
        <f t="shared" si="144"/>
        <v>0</v>
      </c>
      <c r="AF102" s="118">
        <f t="shared" si="145"/>
        <v>0</v>
      </c>
      <c r="AG102" s="118">
        <f t="shared" si="121"/>
        <v>1</v>
      </c>
      <c r="AH102" s="118">
        <f>IF(OR(AE102+AF102+AG102&gt;0,SUM($AE$30:AG101)&gt;0),1,0)</f>
        <v>1</v>
      </c>
      <c r="AI102" s="118">
        <f t="shared" si="146"/>
      </c>
      <c r="AJ102" s="118">
        <f t="shared" si="147"/>
      </c>
      <c r="AK102" s="118" t="str">
        <f t="shared" si="148"/>
        <v>符合「年齡滿65歲、年資滿15年」之擇領月退休金條件</v>
      </c>
      <c r="AL102" s="118" t="str">
        <f t="shared" si="112"/>
        <v>符合「年齡滿65歲、年資滿15年」之擇領月退休金條件</v>
      </c>
      <c r="AM102" s="119">
        <f t="shared" si="113"/>
        <v>0</v>
      </c>
      <c r="AN102" s="119">
        <f t="shared" si="114"/>
        <v>1</v>
      </c>
      <c r="AO102" s="119" t="str">
        <f t="shared" si="115"/>
        <v>符合</v>
      </c>
      <c r="AP102" s="119">
        <f t="shared" si="116"/>
        <v>118</v>
      </c>
      <c r="AQ102" s="119">
        <f t="shared" si="117"/>
        <v>20871231</v>
      </c>
      <c r="AR102" s="119" t="str">
        <f t="shared" si="118"/>
        <v>176.1.1~176.12.31</v>
      </c>
      <c r="AS102" s="120">
        <f t="shared" si="149"/>
      </c>
      <c r="AT102" s="121">
        <f t="shared" si="119"/>
      </c>
      <c r="AU102" s="121">
        <f t="shared" si="150"/>
        <v>1</v>
      </c>
      <c r="AV102" s="119">
        <f t="shared" si="151"/>
      </c>
      <c r="AW102" s="122">
        <f t="shared" si="152"/>
      </c>
      <c r="AX102" s="31">
        <f t="shared" si="153"/>
        <v>0</v>
      </c>
      <c r="AY102" s="7">
        <f t="shared" si="154"/>
        <v>1</v>
      </c>
      <c r="AZ102" s="123">
        <f t="shared" si="155"/>
        <v>1</v>
      </c>
      <c r="BA102" s="123">
        <f t="shared" si="156"/>
        <v>0</v>
      </c>
      <c r="BB102" s="123">
        <f t="shared" si="157"/>
      </c>
      <c r="BC102" s="33"/>
      <c r="BD102" s="33"/>
      <c r="BE102" s="33"/>
      <c r="BF102" s="33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4"/>
      <c r="BT102" s="34"/>
      <c r="BU102" s="34"/>
      <c r="BV102" s="34"/>
      <c r="BW102" s="179">
        <f t="shared" si="158"/>
        <v>23</v>
      </c>
      <c r="BX102" s="7">
        <f t="shared" si="159"/>
        <v>9</v>
      </c>
      <c r="BY102" s="20">
        <f t="shared" si="123"/>
        <v>176</v>
      </c>
      <c r="BZ102" s="2" t="str">
        <f t="shared" si="160"/>
        <v>176.2.5</v>
      </c>
      <c r="CA102" s="181">
        <f t="shared" si="161"/>
        <v>2</v>
      </c>
      <c r="CB102" s="2">
        <f t="shared" si="162"/>
        <v>5</v>
      </c>
      <c r="CC102" s="2" t="str">
        <f t="shared" si="163"/>
        <v>176.9.28</v>
      </c>
      <c r="CD102" s="181">
        <f t="shared" si="201"/>
        <v>9</v>
      </c>
      <c r="CE102" s="2">
        <f t="shared" si="202"/>
        <v>28</v>
      </c>
      <c r="CF102" s="2" t="str">
        <f t="shared" si="164"/>
        <v>生日</v>
      </c>
      <c r="CG102" s="2" t="str">
        <f t="shared" si="165"/>
        <v>176.2.5</v>
      </c>
      <c r="CH102" s="2">
        <f t="shared" si="166"/>
        <v>2</v>
      </c>
      <c r="CI102" s="2" t="str">
        <f t="shared" si="167"/>
        <v>初任</v>
      </c>
      <c r="CJ102" s="2" t="str">
        <f t="shared" si="168"/>
        <v>176.9.28</v>
      </c>
      <c r="CK102" s="2">
        <f t="shared" si="169"/>
        <v>9</v>
      </c>
      <c r="CL102" s="2">
        <f t="shared" si="170"/>
        <v>0</v>
      </c>
      <c r="CM102" s="339">
        <f t="shared" si="171"/>
      </c>
      <c r="CN102" s="2">
        <f t="shared" si="172"/>
      </c>
      <c r="CO102" s="2">
        <f t="shared" si="173"/>
      </c>
      <c r="CP102" s="2">
        <f t="shared" si="174"/>
      </c>
      <c r="CQ102" s="2">
        <f t="shared" si="175"/>
      </c>
      <c r="CR102" s="2">
        <f t="shared" si="124"/>
      </c>
      <c r="CS102" s="128">
        <f t="shared" si="125"/>
      </c>
      <c r="CT102" s="2">
        <f t="shared" si="176"/>
      </c>
      <c r="CU102" s="2">
        <f t="shared" si="177"/>
      </c>
      <c r="CV102" s="128">
        <f t="shared" si="178"/>
      </c>
      <c r="CW102" s="2" t="str">
        <f t="shared" si="179"/>
        <v>176.1.1</v>
      </c>
      <c r="CX102" s="2">
        <f t="shared" si="180"/>
        <v>1</v>
      </c>
      <c r="CY102" s="128" t="str">
        <f t="shared" si="181"/>
        <v>176.2.1。【說明：原實際條件成就時間為176.1.1，惟因必須配合學期而延至當學期結束之次日，始能退休生效，爰推算為176.2.1】</v>
      </c>
      <c r="CZ102" s="2">
        <f t="shared" si="182"/>
      </c>
      <c r="DA102" s="2">
        <f t="shared" si="183"/>
      </c>
      <c r="DB102" s="128">
        <f t="shared" si="184"/>
      </c>
      <c r="DC102" s="2">
        <f t="shared" si="185"/>
      </c>
      <c r="DD102" s="2">
        <f t="shared" si="186"/>
      </c>
      <c r="DE102" s="128">
        <f t="shared" si="187"/>
      </c>
      <c r="DF102" s="2"/>
      <c r="DG102" s="2"/>
      <c r="DH102" s="128"/>
      <c r="DI102" s="2">
        <f t="shared" si="188"/>
      </c>
      <c r="DJ102" s="2">
        <f t="shared" si="189"/>
      </c>
      <c r="DK102" s="128">
        <f t="shared" si="190"/>
      </c>
      <c r="DL102" s="128"/>
      <c r="DM102" s="21" t="str">
        <f t="shared" si="191"/>
        <v>176.2.1。【說明：原實際條件成就時間為176.1.1，惟因必須配合學期而延至當學期結束之次日，始能退休生效，爰推算為176.2.1】</v>
      </c>
      <c r="DN102" s="2" t="str">
        <f t="shared" si="192"/>
        <v>176.1.1</v>
      </c>
      <c r="DO102" s="2"/>
      <c r="DP102" s="2"/>
      <c r="DQ102" s="2"/>
      <c r="DR102" s="2"/>
      <c r="DS102" s="2"/>
      <c r="DT102" s="2"/>
      <c r="DU102" s="2"/>
      <c r="DV102" s="10"/>
      <c r="DW102" s="2">
        <f t="shared" si="193"/>
        <v>176</v>
      </c>
      <c r="DX102" s="2" t="str">
        <f t="shared" si="194"/>
        <v>◆但@*%#...喔麥尬～上開生效日期已逾121年底的過渡期，仍否再適用指標數規定，恐有疑義！</v>
      </c>
      <c r="DY102" s="34"/>
      <c r="DZ102" s="7">
        <f t="shared" si="195"/>
        <v>1</v>
      </c>
      <c r="EA102" s="123">
        <f t="shared" si="196"/>
        <v>0</v>
      </c>
      <c r="EB102" s="211">
        <f t="shared" si="197"/>
      </c>
      <c r="EC102" s="210">
        <f t="shared" si="198"/>
      </c>
      <c r="ED102" s="210" t="e">
        <f t="shared" si="199"/>
        <v>#VALUE!</v>
      </c>
      <c r="EE102" s="34"/>
      <c r="EF102" s="34"/>
      <c r="EG102" s="34"/>
      <c r="EH102" s="34"/>
      <c r="EI102" s="34"/>
      <c r="EJ102" s="34"/>
      <c r="EK102" s="34"/>
      <c r="EL102" s="34"/>
      <c r="EM102" s="34"/>
      <c r="EN102" s="314"/>
      <c r="EO102" s="30"/>
      <c r="EP102" s="315"/>
      <c r="EQ102" s="315"/>
    </row>
    <row r="103" spans="1:147" s="29" customFormat="1" ht="15.75" customHeight="1" hidden="1" thickBot="1" thickTop="1">
      <c r="A103" s="143"/>
      <c r="B103" s="149">
        <f t="shared" si="200"/>
        <v>177</v>
      </c>
      <c r="C103" s="26">
        <f t="shared" si="126"/>
        <v>20881231</v>
      </c>
      <c r="D103" s="26" t="str">
        <f t="shared" si="127"/>
        <v>2088</v>
      </c>
      <c r="E103" s="26" t="str">
        <f t="shared" si="128"/>
        <v>12</v>
      </c>
      <c r="F103" s="26" t="str">
        <f t="shared" si="129"/>
        <v>31</v>
      </c>
      <c r="G103" s="300">
        <f t="shared" si="130"/>
        <v>69033</v>
      </c>
      <c r="H103" s="116">
        <f t="shared" si="122"/>
        <v>87</v>
      </c>
      <c r="I103" s="116">
        <f t="shared" si="131"/>
        <v>4</v>
      </c>
      <c r="J103" s="26">
        <f t="shared" si="132"/>
        <v>30</v>
      </c>
      <c r="K103" s="117">
        <f t="shared" si="133"/>
        <v>89</v>
      </c>
      <c r="L103" s="117">
        <f t="shared" si="134"/>
        <v>3</v>
      </c>
      <c r="M103" s="117">
        <f t="shared" si="135"/>
        <v>8</v>
      </c>
      <c r="N103" s="574" t="str">
        <f t="shared" si="136"/>
        <v>177.1.1~177.12.31</v>
      </c>
      <c r="O103" s="575"/>
      <c r="P103" s="575"/>
      <c r="Q103" s="576"/>
      <c r="R103" s="394">
        <v>60</v>
      </c>
      <c r="S103" s="391">
        <f t="shared" si="137"/>
        <v>119</v>
      </c>
      <c r="T103" s="392">
        <f t="shared" si="138"/>
        <v>89</v>
      </c>
      <c r="U103" s="393">
        <f t="shared" si="139"/>
        <v>208</v>
      </c>
      <c r="V103" s="148">
        <f t="shared" si="140"/>
      </c>
      <c r="W103" s="580">
        <f t="shared" si="120"/>
      </c>
      <c r="X103" s="581"/>
      <c r="Y103" s="581"/>
      <c r="Z103" s="582"/>
      <c r="AA103" s="249">
        <f t="shared" si="141"/>
      </c>
      <c r="AB103" s="248">
        <f t="shared" si="142"/>
      </c>
      <c r="AC103" s="330">
        <f t="shared" si="143"/>
      </c>
      <c r="AD103" s="102"/>
      <c r="AE103" s="118">
        <f t="shared" si="144"/>
        <v>0</v>
      </c>
      <c r="AF103" s="118">
        <f t="shared" si="145"/>
        <v>0</v>
      </c>
      <c r="AG103" s="118">
        <f t="shared" si="121"/>
        <v>1</v>
      </c>
      <c r="AH103" s="118">
        <f>IF(OR(AE103+AF103+AG103&gt;0,SUM($AE$30:AG102)&gt;0),1,0)</f>
        <v>1</v>
      </c>
      <c r="AI103" s="118">
        <f t="shared" si="146"/>
      </c>
      <c r="AJ103" s="118">
        <f t="shared" si="147"/>
      </c>
      <c r="AK103" s="118" t="str">
        <f t="shared" si="148"/>
        <v>符合「年齡滿65歲、年資滿15年」之擇領月退休金條件</v>
      </c>
      <c r="AL103" s="118" t="str">
        <f t="shared" si="112"/>
        <v>符合「年齡滿65歲、年資滿15年」之擇領月退休金條件</v>
      </c>
      <c r="AM103" s="119">
        <f t="shared" si="113"/>
        <v>0</v>
      </c>
      <c r="AN103" s="119">
        <f t="shared" si="114"/>
        <v>1</v>
      </c>
      <c r="AO103" s="119" t="str">
        <f t="shared" si="115"/>
        <v>符合</v>
      </c>
      <c r="AP103" s="119">
        <f t="shared" si="116"/>
        <v>119</v>
      </c>
      <c r="AQ103" s="119">
        <f t="shared" si="117"/>
        <v>20881231</v>
      </c>
      <c r="AR103" s="119" t="str">
        <f t="shared" si="118"/>
        <v>177.1.1~177.12.31</v>
      </c>
      <c r="AS103" s="120">
        <f t="shared" si="149"/>
      </c>
      <c r="AT103" s="121">
        <f t="shared" si="119"/>
      </c>
      <c r="AU103" s="121">
        <f t="shared" si="150"/>
        <v>1</v>
      </c>
      <c r="AV103" s="119">
        <f t="shared" si="151"/>
      </c>
      <c r="AW103" s="122">
        <f t="shared" si="152"/>
      </c>
      <c r="AX103" s="31">
        <f t="shared" si="153"/>
        <v>0</v>
      </c>
      <c r="AY103" s="7">
        <f t="shared" si="154"/>
        <v>1</v>
      </c>
      <c r="AZ103" s="123">
        <f t="shared" si="155"/>
        <v>1</v>
      </c>
      <c r="BA103" s="123">
        <f t="shared" si="156"/>
        <v>0</v>
      </c>
      <c r="BB103" s="123">
        <f t="shared" si="157"/>
      </c>
      <c r="BC103" s="33"/>
      <c r="BD103" s="33"/>
      <c r="BE103" s="33"/>
      <c r="BF103" s="33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4"/>
      <c r="BT103" s="34"/>
      <c r="BU103" s="34"/>
      <c r="BV103" s="34"/>
      <c r="BW103" s="179">
        <f t="shared" si="158"/>
        <v>23</v>
      </c>
      <c r="BX103" s="7">
        <f t="shared" si="159"/>
        <v>9</v>
      </c>
      <c r="BY103" s="20">
        <f t="shared" si="123"/>
        <v>177</v>
      </c>
      <c r="BZ103" s="2" t="str">
        <f t="shared" si="160"/>
        <v>177.2.5</v>
      </c>
      <c r="CA103" s="181">
        <f t="shared" si="161"/>
        <v>2</v>
      </c>
      <c r="CB103" s="2">
        <f t="shared" si="162"/>
        <v>5</v>
      </c>
      <c r="CC103" s="2" t="str">
        <f t="shared" si="163"/>
        <v>177.9.28</v>
      </c>
      <c r="CD103" s="181">
        <f t="shared" si="201"/>
        <v>9</v>
      </c>
      <c r="CE103" s="2">
        <f t="shared" si="202"/>
        <v>28</v>
      </c>
      <c r="CF103" s="2" t="str">
        <f t="shared" si="164"/>
        <v>生日</v>
      </c>
      <c r="CG103" s="2" t="str">
        <f t="shared" si="165"/>
        <v>177.2.5</v>
      </c>
      <c r="CH103" s="2">
        <f t="shared" si="166"/>
        <v>2</v>
      </c>
      <c r="CI103" s="2" t="str">
        <f t="shared" si="167"/>
        <v>初任</v>
      </c>
      <c r="CJ103" s="2" t="str">
        <f t="shared" si="168"/>
        <v>177.9.28</v>
      </c>
      <c r="CK103" s="2">
        <f t="shared" si="169"/>
        <v>9</v>
      </c>
      <c r="CL103" s="2">
        <f t="shared" si="170"/>
        <v>0</v>
      </c>
      <c r="CM103" s="339">
        <f t="shared" si="171"/>
      </c>
      <c r="CN103" s="2">
        <f t="shared" si="172"/>
      </c>
      <c r="CO103" s="2">
        <f t="shared" si="173"/>
      </c>
      <c r="CP103" s="2">
        <f t="shared" si="174"/>
      </c>
      <c r="CQ103" s="2">
        <f t="shared" si="175"/>
      </c>
      <c r="CR103" s="2">
        <f t="shared" si="124"/>
      </c>
      <c r="CS103" s="128">
        <f t="shared" si="125"/>
      </c>
      <c r="CT103" s="2">
        <f t="shared" si="176"/>
      </c>
      <c r="CU103" s="2">
        <f t="shared" si="177"/>
      </c>
      <c r="CV103" s="128">
        <f t="shared" si="178"/>
      </c>
      <c r="CW103" s="2" t="str">
        <f t="shared" si="179"/>
        <v>177.1.1</v>
      </c>
      <c r="CX103" s="2">
        <f t="shared" si="180"/>
        <v>1</v>
      </c>
      <c r="CY103" s="128" t="str">
        <f t="shared" si="181"/>
        <v>177.2.1。【說明：原實際條件成就時間為177.1.1，惟因必須配合學期而延至當學期結束之次日，始能退休生效，爰推算為177.2.1】</v>
      </c>
      <c r="CZ103" s="2">
        <f t="shared" si="182"/>
      </c>
      <c r="DA103" s="2">
        <f t="shared" si="183"/>
      </c>
      <c r="DB103" s="128">
        <f t="shared" si="184"/>
      </c>
      <c r="DC103" s="2">
        <f t="shared" si="185"/>
      </c>
      <c r="DD103" s="2">
        <f t="shared" si="186"/>
      </c>
      <c r="DE103" s="128">
        <f t="shared" si="187"/>
      </c>
      <c r="DF103" s="2"/>
      <c r="DG103" s="2"/>
      <c r="DH103" s="128"/>
      <c r="DI103" s="2">
        <f t="shared" si="188"/>
      </c>
      <c r="DJ103" s="2">
        <f t="shared" si="189"/>
      </c>
      <c r="DK103" s="128">
        <f t="shared" si="190"/>
      </c>
      <c r="DL103" s="128"/>
      <c r="DM103" s="21" t="str">
        <f t="shared" si="191"/>
        <v>177.2.1。【說明：原實際條件成就時間為177.1.1，惟因必須配合學期而延至當學期結束之次日，始能退休生效，爰推算為177.2.1】</v>
      </c>
      <c r="DN103" s="2" t="str">
        <f t="shared" si="192"/>
        <v>177.1.1</v>
      </c>
      <c r="DO103" s="2"/>
      <c r="DP103" s="2"/>
      <c r="DQ103" s="2"/>
      <c r="DR103" s="2"/>
      <c r="DS103" s="2"/>
      <c r="DT103" s="2"/>
      <c r="DU103" s="2"/>
      <c r="DV103" s="10"/>
      <c r="DW103" s="2">
        <f t="shared" si="193"/>
        <v>177</v>
      </c>
      <c r="DX103" s="2" t="str">
        <f t="shared" si="194"/>
        <v>◆但@*%#...喔麥尬～上開生效日期已逾121年底的過渡期，仍否再適用指標數規定，恐有疑義！</v>
      </c>
      <c r="DY103" s="34"/>
      <c r="DZ103" s="7">
        <f t="shared" si="195"/>
        <v>1</v>
      </c>
      <c r="EA103" s="123">
        <f t="shared" si="196"/>
        <v>0</v>
      </c>
      <c r="EB103" s="211">
        <f t="shared" si="197"/>
      </c>
      <c r="EC103" s="210">
        <f t="shared" si="198"/>
      </c>
      <c r="ED103" s="210" t="e">
        <f t="shared" si="199"/>
        <v>#VALUE!</v>
      </c>
      <c r="EE103" s="34"/>
      <c r="EF103" s="34"/>
      <c r="EG103" s="34"/>
      <c r="EH103" s="34"/>
      <c r="EI103" s="34"/>
      <c r="EJ103" s="34"/>
      <c r="EK103" s="34"/>
      <c r="EL103" s="34"/>
      <c r="EM103" s="34"/>
      <c r="EN103" s="314"/>
      <c r="EO103" s="30"/>
      <c r="EP103" s="315"/>
      <c r="EQ103" s="315"/>
    </row>
    <row r="104" spans="1:147" s="29" customFormat="1" ht="15.75" customHeight="1" hidden="1" thickBot="1" thickTop="1">
      <c r="A104" s="143"/>
      <c r="B104" s="149">
        <f t="shared" si="200"/>
        <v>178</v>
      </c>
      <c r="C104" s="26">
        <f t="shared" si="126"/>
        <v>20891231</v>
      </c>
      <c r="D104" s="26" t="str">
        <f t="shared" si="127"/>
        <v>2089</v>
      </c>
      <c r="E104" s="26" t="str">
        <f t="shared" si="128"/>
        <v>12</v>
      </c>
      <c r="F104" s="26" t="str">
        <f t="shared" si="129"/>
        <v>31</v>
      </c>
      <c r="G104" s="300">
        <f t="shared" si="130"/>
        <v>69398</v>
      </c>
      <c r="H104" s="116">
        <f t="shared" si="122"/>
        <v>88</v>
      </c>
      <c r="I104" s="116">
        <f t="shared" si="131"/>
        <v>4</v>
      </c>
      <c r="J104" s="26">
        <f t="shared" si="132"/>
        <v>30</v>
      </c>
      <c r="K104" s="117">
        <f t="shared" si="133"/>
        <v>90</v>
      </c>
      <c r="L104" s="117">
        <f t="shared" si="134"/>
        <v>3</v>
      </c>
      <c r="M104" s="117">
        <f t="shared" si="135"/>
        <v>8</v>
      </c>
      <c r="N104" s="574" t="str">
        <f t="shared" si="136"/>
        <v>178.1.1~178.12.31</v>
      </c>
      <c r="O104" s="575"/>
      <c r="P104" s="575"/>
      <c r="Q104" s="576"/>
      <c r="R104" s="394">
        <v>60</v>
      </c>
      <c r="S104" s="391">
        <f t="shared" si="137"/>
        <v>120</v>
      </c>
      <c r="T104" s="392">
        <f t="shared" si="138"/>
        <v>90</v>
      </c>
      <c r="U104" s="393">
        <f t="shared" si="139"/>
        <v>210</v>
      </c>
      <c r="V104" s="148">
        <f t="shared" si="140"/>
      </c>
      <c r="W104" s="580">
        <f t="shared" si="120"/>
      </c>
      <c r="X104" s="581"/>
      <c r="Y104" s="581"/>
      <c r="Z104" s="582"/>
      <c r="AA104" s="249">
        <f t="shared" si="141"/>
      </c>
      <c r="AB104" s="248">
        <f t="shared" si="142"/>
      </c>
      <c r="AC104" s="330">
        <f t="shared" si="143"/>
      </c>
      <c r="AD104" s="102"/>
      <c r="AE104" s="118">
        <f t="shared" si="144"/>
        <v>0</v>
      </c>
      <c r="AF104" s="118">
        <f t="shared" si="145"/>
        <v>0</v>
      </c>
      <c r="AG104" s="118">
        <f t="shared" si="121"/>
        <v>1</v>
      </c>
      <c r="AH104" s="118">
        <f>IF(OR(AE104+AF104+AG104&gt;0,SUM($AE$30:AG103)&gt;0),1,0)</f>
        <v>1</v>
      </c>
      <c r="AI104" s="118">
        <f t="shared" si="146"/>
      </c>
      <c r="AJ104" s="118">
        <f t="shared" si="147"/>
      </c>
      <c r="AK104" s="118" t="str">
        <f t="shared" si="148"/>
        <v>符合「年齡滿65歲、年資滿15年」之擇領月退休金條件</v>
      </c>
      <c r="AL104" s="118" t="str">
        <f t="shared" si="112"/>
        <v>符合「年齡滿65歲、年資滿15年」之擇領月退休金條件</v>
      </c>
      <c r="AM104" s="119">
        <f t="shared" si="113"/>
        <v>0</v>
      </c>
      <c r="AN104" s="119">
        <f t="shared" si="114"/>
        <v>1</v>
      </c>
      <c r="AO104" s="119" t="str">
        <f t="shared" si="115"/>
        <v>符合</v>
      </c>
      <c r="AP104" s="119">
        <f t="shared" si="116"/>
        <v>120</v>
      </c>
      <c r="AQ104" s="119">
        <f t="shared" si="117"/>
        <v>20891231</v>
      </c>
      <c r="AR104" s="119" t="str">
        <f t="shared" si="118"/>
        <v>178.1.1~178.12.31</v>
      </c>
      <c r="AS104" s="120">
        <f t="shared" si="149"/>
      </c>
      <c r="AT104" s="121">
        <f t="shared" si="119"/>
      </c>
      <c r="AU104" s="121">
        <f t="shared" si="150"/>
        <v>1</v>
      </c>
      <c r="AV104" s="119">
        <f t="shared" si="151"/>
      </c>
      <c r="AW104" s="122">
        <f t="shared" si="152"/>
      </c>
      <c r="AX104" s="31">
        <f t="shared" si="153"/>
        <v>0</v>
      </c>
      <c r="AY104" s="7">
        <f t="shared" si="154"/>
        <v>1</v>
      </c>
      <c r="AZ104" s="123">
        <f t="shared" si="155"/>
        <v>1</v>
      </c>
      <c r="BA104" s="123">
        <f t="shared" si="156"/>
        <v>0</v>
      </c>
      <c r="BB104" s="123">
        <f t="shared" si="157"/>
      </c>
      <c r="BC104" s="33"/>
      <c r="BD104" s="33"/>
      <c r="BE104" s="33"/>
      <c r="BF104" s="33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4"/>
      <c r="BT104" s="34"/>
      <c r="BU104" s="34"/>
      <c r="BV104" s="34"/>
      <c r="BW104" s="179">
        <f t="shared" si="158"/>
        <v>23</v>
      </c>
      <c r="BX104" s="7">
        <f t="shared" si="159"/>
        <v>9</v>
      </c>
      <c r="BY104" s="20">
        <f t="shared" si="123"/>
        <v>178</v>
      </c>
      <c r="BZ104" s="2" t="str">
        <f t="shared" si="160"/>
        <v>178.2.5</v>
      </c>
      <c r="CA104" s="181">
        <f t="shared" si="161"/>
        <v>2</v>
      </c>
      <c r="CB104" s="2">
        <f t="shared" si="162"/>
        <v>5</v>
      </c>
      <c r="CC104" s="2" t="str">
        <f t="shared" si="163"/>
        <v>178.9.28</v>
      </c>
      <c r="CD104" s="181">
        <f t="shared" si="201"/>
        <v>9</v>
      </c>
      <c r="CE104" s="2">
        <f t="shared" si="202"/>
        <v>28</v>
      </c>
      <c r="CF104" s="2" t="str">
        <f t="shared" si="164"/>
        <v>生日</v>
      </c>
      <c r="CG104" s="2" t="str">
        <f t="shared" si="165"/>
        <v>178.2.5</v>
      </c>
      <c r="CH104" s="2">
        <f t="shared" si="166"/>
        <v>2</v>
      </c>
      <c r="CI104" s="2" t="str">
        <f t="shared" si="167"/>
        <v>初任</v>
      </c>
      <c r="CJ104" s="2" t="str">
        <f t="shared" si="168"/>
        <v>178.9.28</v>
      </c>
      <c r="CK104" s="2">
        <f t="shared" si="169"/>
        <v>9</v>
      </c>
      <c r="CL104" s="2">
        <f t="shared" si="170"/>
        <v>0</v>
      </c>
      <c r="CM104" s="339">
        <f t="shared" si="171"/>
      </c>
      <c r="CN104" s="2">
        <f t="shared" si="172"/>
      </c>
      <c r="CO104" s="2">
        <f t="shared" si="173"/>
      </c>
      <c r="CP104" s="2">
        <f t="shared" si="174"/>
      </c>
      <c r="CQ104" s="2">
        <f t="shared" si="175"/>
      </c>
      <c r="CR104" s="2">
        <f t="shared" si="124"/>
      </c>
      <c r="CS104" s="128">
        <f t="shared" si="125"/>
      </c>
      <c r="CT104" s="2">
        <f t="shared" si="176"/>
      </c>
      <c r="CU104" s="2">
        <f t="shared" si="177"/>
      </c>
      <c r="CV104" s="128">
        <f t="shared" si="178"/>
      </c>
      <c r="CW104" s="2" t="str">
        <f t="shared" si="179"/>
        <v>178.1.1</v>
      </c>
      <c r="CX104" s="2">
        <f t="shared" si="180"/>
        <v>1</v>
      </c>
      <c r="CY104" s="128" t="str">
        <f t="shared" si="181"/>
        <v>178.2.1。【說明：原實際條件成就時間為178.1.1，惟因必須配合學期而延至當學期結束之次日，始能退休生效，爰推算為178.2.1】</v>
      </c>
      <c r="CZ104" s="2">
        <f t="shared" si="182"/>
      </c>
      <c r="DA104" s="2">
        <f t="shared" si="183"/>
      </c>
      <c r="DB104" s="128">
        <f t="shared" si="184"/>
      </c>
      <c r="DC104" s="2">
        <f t="shared" si="185"/>
      </c>
      <c r="DD104" s="2">
        <f t="shared" si="186"/>
      </c>
      <c r="DE104" s="128">
        <f t="shared" si="187"/>
      </c>
      <c r="DF104" s="2"/>
      <c r="DG104" s="2"/>
      <c r="DH104" s="128"/>
      <c r="DI104" s="2">
        <f t="shared" si="188"/>
      </c>
      <c r="DJ104" s="2">
        <f t="shared" si="189"/>
      </c>
      <c r="DK104" s="128">
        <f t="shared" si="190"/>
      </c>
      <c r="DL104" s="128"/>
      <c r="DM104" s="21" t="str">
        <f t="shared" si="191"/>
        <v>178.2.1。【說明：原實際條件成就時間為178.1.1，惟因必須配合學期而延至當學期結束之次日，始能退休生效，爰推算為178.2.1】</v>
      </c>
      <c r="DN104" s="2" t="str">
        <f t="shared" si="192"/>
        <v>178.1.1</v>
      </c>
      <c r="DO104" s="2"/>
      <c r="DP104" s="2"/>
      <c r="DQ104" s="2"/>
      <c r="DR104" s="2"/>
      <c r="DS104" s="2"/>
      <c r="DT104" s="2"/>
      <c r="DU104" s="2"/>
      <c r="DV104" s="10"/>
      <c r="DW104" s="2">
        <f t="shared" si="193"/>
        <v>178</v>
      </c>
      <c r="DX104" s="2" t="str">
        <f t="shared" si="194"/>
        <v>◆但@*%#...喔麥尬～上開生效日期已逾121年底的過渡期，仍否再適用指標數規定，恐有疑義！</v>
      </c>
      <c r="DY104" s="34"/>
      <c r="DZ104" s="7">
        <f t="shared" si="195"/>
        <v>1</v>
      </c>
      <c r="EA104" s="123">
        <f t="shared" si="196"/>
        <v>0</v>
      </c>
      <c r="EB104" s="211">
        <f t="shared" si="197"/>
      </c>
      <c r="EC104" s="210">
        <f t="shared" si="198"/>
      </c>
      <c r="ED104" s="210" t="e">
        <f t="shared" si="199"/>
        <v>#VALUE!</v>
      </c>
      <c r="EE104" s="34"/>
      <c r="EF104" s="34"/>
      <c r="EG104" s="34"/>
      <c r="EH104" s="34"/>
      <c r="EI104" s="34"/>
      <c r="EJ104" s="34"/>
      <c r="EK104" s="34"/>
      <c r="EL104" s="34"/>
      <c r="EM104" s="34"/>
      <c r="EN104" s="314"/>
      <c r="EO104" s="30"/>
      <c r="EP104" s="315"/>
      <c r="EQ104" s="315"/>
    </row>
    <row r="105" spans="1:147" s="29" customFormat="1" ht="15.75" customHeight="1" hidden="1" thickBot="1" thickTop="1">
      <c r="A105" s="143"/>
      <c r="B105" s="149">
        <f t="shared" si="200"/>
        <v>179</v>
      </c>
      <c r="C105" s="26">
        <f t="shared" si="126"/>
        <v>20901231</v>
      </c>
      <c r="D105" s="26" t="str">
        <f t="shared" si="127"/>
        <v>2090</v>
      </c>
      <c r="E105" s="26" t="str">
        <f t="shared" si="128"/>
        <v>12</v>
      </c>
      <c r="F105" s="26" t="str">
        <f t="shared" si="129"/>
        <v>31</v>
      </c>
      <c r="G105" s="300">
        <f t="shared" si="130"/>
        <v>69763</v>
      </c>
      <c r="H105" s="116">
        <f t="shared" si="122"/>
        <v>89</v>
      </c>
      <c r="I105" s="116">
        <f t="shared" si="131"/>
        <v>4</v>
      </c>
      <c r="J105" s="26">
        <f t="shared" si="132"/>
        <v>30</v>
      </c>
      <c r="K105" s="117">
        <f t="shared" si="133"/>
        <v>91</v>
      </c>
      <c r="L105" s="117">
        <f t="shared" si="134"/>
        <v>3</v>
      </c>
      <c r="M105" s="117">
        <f t="shared" si="135"/>
        <v>8</v>
      </c>
      <c r="N105" s="574" t="str">
        <f t="shared" si="136"/>
        <v>179.1.1~179.12.31</v>
      </c>
      <c r="O105" s="575"/>
      <c r="P105" s="575"/>
      <c r="Q105" s="576"/>
      <c r="R105" s="394">
        <v>60</v>
      </c>
      <c r="S105" s="391">
        <f t="shared" si="137"/>
        <v>121</v>
      </c>
      <c r="T105" s="392">
        <f t="shared" si="138"/>
        <v>91</v>
      </c>
      <c r="U105" s="393">
        <f t="shared" si="139"/>
        <v>212</v>
      </c>
      <c r="V105" s="148">
        <f t="shared" si="140"/>
      </c>
      <c r="W105" s="580">
        <f t="shared" si="120"/>
      </c>
      <c r="X105" s="581"/>
      <c r="Y105" s="581"/>
      <c r="Z105" s="582"/>
      <c r="AA105" s="249">
        <f t="shared" si="141"/>
      </c>
      <c r="AB105" s="248">
        <f t="shared" si="142"/>
      </c>
      <c r="AC105" s="330">
        <f t="shared" si="143"/>
      </c>
      <c r="AD105" s="102"/>
      <c r="AE105" s="118">
        <f t="shared" si="144"/>
        <v>0</v>
      </c>
      <c r="AF105" s="118">
        <f t="shared" si="145"/>
        <v>0</v>
      </c>
      <c r="AG105" s="118">
        <f t="shared" si="121"/>
        <v>1</v>
      </c>
      <c r="AH105" s="118">
        <f>IF(OR(AE105+AF105+AG105&gt;0,SUM($AE$30:AG104)&gt;0),1,0)</f>
        <v>1</v>
      </c>
      <c r="AI105" s="118">
        <f t="shared" si="146"/>
      </c>
      <c r="AJ105" s="118">
        <f t="shared" si="147"/>
      </c>
      <c r="AK105" s="118" t="str">
        <f t="shared" si="148"/>
        <v>符合「年齡滿65歲、年資滿15年」之擇領月退休金條件</v>
      </c>
      <c r="AL105" s="118" t="str">
        <f t="shared" si="112"/>
        <v>符合「年齡滿65歲、年資滿15年」之擇領月退休金條件</v>
      </c>
      <c r="AM105" s="119">
        <f t="shared" si="113"/>
        <v>0</v>
      </c>
      <c r="AN105" s="119">
        <f t="shared" si="114"/>
        <v>1</v>
      </c>
      <c r="AO105" s="119" t="str">
        <f t="shared" si="115"/>
        <v>符合</v>
      </c>
      <c r="AP105" s="119">
        <f t="shared" si="116"/>
        <v>121</v>
      </c>
      <c r="AQ105" s="119">
        <f t="shared" si="117"/>
        <v>20901231</v>
      </c>
      <c r="AR105" s="119" t="str">
        <f t="shared" si="118"/>
        <v>179.1.1~179.12.31</v>
      </c>
      <c r="AS105" s="120">
        <f t="shared" si="149"/>
      </c>
      <c r="AT105" s="121">
        <f t="shared" si="119"/>
      </c>
      <c r="AU105" s="121">
        <f t="shared" si="150"/>
        <v>1</v>
      </c>
      <c r="AV105" s="119">
        <f t="shared" si="151"/>
      </c>
      <c r="AW105" s="122">
        <f t="shared" si="152"/>
      </c>
      <c r="AX105" s="31">
        <f t="shared" si="153"/>
        <v>0</v>
      </c>
      <c r="AY105" s="7">
        <f t="shared" si="154"/>
        <v>1</v>
      </c>
      <c r="AZ105" s="123">
        <f t="shared" si="155"/>
        <v>1</v>
      </c>
      <c r="BA105" s="123">
        <f t="shared" si="156"/>
        <v>0</v>
      </c>
      <c r="BB105" s="123">
        <f t="shared" si="157"/>
      </c>
      <c r="BC105" s="33"/>
      <c r="BD105" s="33"/>
      <c r="BE105" s="33"/>
      <c r="BF105" s="33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4"/>
      <c r="BT105" s="34"/>
      <c r="BU105" s="34"/>
      <c r="BV105" s="34"/>
      <c r="BW105" s="179">
        <f t="shared" si="158"/>
        <v>23</v>
      </c>
      <c r="BX105" s="7">
        <f t="shared" si="159"/>
        <v>9</v>
      </c>
      <c r="BY105" s="20">
        <f t="shared" si="123"/>
        <v>179</v>
      </c>
      <c r="BZ105" s="2" t="str">
        <f t="shared" si="160"/>
        <v>179.2.5</v>
      </c>
      <c r="CA105" s="181">
        <f t="shared" si="161"/>
        <v>2</v>
      </c>
      <c r="CB105" s="2">
        <f t="shared" si="162"/>
        <v>5</v>
      </c>
      <c r="CC105" s="2" t="str">
        <f t="shared" si="163"/>
        <v>179.9.28</v>
      </c>
      <c r="CD105" s="181">
        <f t="shared" si="201"/>
        <v>9</v>
      </c>
      <c r="CE105" s="2">
        <f t="shared" si="202"/>
        <v>28</v>
      </c>
      <c r="CF105" s="2" t="str">
        <f t="shared" si="164"/>
        <v>生日</v>
      </c>
      <c r="CG105" s="2" t="str">
        <f t="shared" si="165"/>
        <v>179.2.5</v>
      </c>
      <c r="CH105" s="2">
        <f t="shared" si="166"/>
        <v>2</v>
      </c>
      <c r="CI105" s="2" t="str">
        <f t="shared" si="167"/>
        <v>初任</v>
      </c>
      <c r="CJ105" s="2" t="str">
        <f t="shared" si="168"/>
        <v>179.9.28</v>
      </c>
      <c r="CK105" s="2">
        <f t="shared" si="169"/>
        <v>9</v>
      </c>
      <c r="CL105" s="2">
        <f t="shared" si="170"/>
        <v>0</v>
      </c>
      <c r="CM105" s="339">
        <f t="shared" si="171"/>
      </c>
      <c r="CN105" s="2">
        <f t="shared" si="172"/>
      </c>
      <c r="CO105" s="2">
        <f t="shared" si="173"/>
      </c>
      <c r="CP105" s="2">
        <f t="shared" si="174"/>
      </c>
      <c r="CQ105" s="2">
        <f t="shared" si="175"/>
      </c>
      <c r="CR105" s="2">
        <f t="shared" si="124"/>
      </c>
      <c r="CS105" s="128">
        <f t="shared" si="125"/>
      </c>
      <c r="CT105" s="2">
        <f t="shared" si="176"/>
      </c>
      <c r="CU105" s="2">
        <f t="shared" si="177"/>
      </c>
      <c r="CV105" s="128">
        <f t="shared" si="178"/>
      </c>
      <c r="CW105" s="2" t="str">
        <f t="shared" si="179"/>
        <v>179.1.1</v>
      </c>
      <c r="CX105" s="2">
        <f t="shared" si="180"/>
        <v>1</v>
      </c>
      <c r="CY105" s="128" t="str">
        <f t="shared" si="181"/>
        <v>179.2.1。【說明：原實際條件成就時間為179.1.1，惟因必須配合學期而延至當學期結束之次日，始能退休生效，爰推算為179.2.1】</v>
      </c>
      <c r="CZ105" s="2">
        <f t="shared" si="182"/>
      </c>
      <c r="DA105" s="2">
        <f t="shared" si="183"/>
      </c>
      <c r="DB105" s="128">
        <f t="shared" si="184"/>
      </c>
      <c r="DC105" s="2">
        <f t="shared" si="185"/>
      </c>
      <c r="DD105" s="2">
        <f t="shared" si="186"/>
      </c>
      <c r="DE105" s="128">
        <f t="shared" si="187"/>
      </c>
      <c r="DF105" s="2"/>
      <c r="DG105" s="2"/>
      <c r="DH105" s="128"/>
      <c r="DI105" s="2">
        <f t="shared" si="188"/>
      </c>
      <c r="DJ105" s="2">
        <f t="shared" si="189"/>
      </c>
      <c r="DK105" s="128">
        <f t="shared" si="190"/>
      </c>
      <c r="DL105" s="128"/>
      <c r="DM105" s="21" t="str">
        <f t="shared" si="191"/>
        <v>179.2.1。【說明：原實際條件成就時間為179.1.1，惟因必須配合學期而延至當學期結束之次日，始能退休生效，爰推算為179.2.1】</v>
      </c>
      <c r="DN105" s="2" t="str">
        <f t="shared" si="192"/>
        <v>179.1.1</v>
      </c>
      <c r="DO105" s="2"/>
      <c r="DP105" s="2"/>
      <c r="DQ105" s="2"/>
      <c r="DR105" s="2"/>
      <c r="DS105" s="2"/>
      <c r="DT105" s="2"/>
      <c r="DU105" s="2"/>
      <c r="DV105" s="10"/>
      <c r="DW105" s="2">
        <f t="shared" si="193"/>
        <v>179</v>
      </c>
      <c r="DX105" s="2" t="str">
        <f t="shared" si="194"/>
        <v>◆但@*%#...喔麥尬～上開生效日期已逾121年底的過渡期，仍否再適用指標數規定，恐有疑義！</v>
      </c>
      <c r="DY105" s="34"/>
      <c r="DZ105" s="7">
        <f t="shared" si="195"/>
        <v>1</v>
      </c>
      <c r="EA105" s="123">
        <f t="shared" si="196"/>
        <v>0</v>
      </c>
      <c r="EB105" s="211">
        <f t="shared" si="197"/>
      </c>
      <c r="EC105" s="210">
        <f t="shared" si="198"/>
      </c>
      <c r="ED105" s="210" t="e">
        <f t="shared" si="199"/>
        <v>#VALUE!</v>
      </c>
      <c r="EE105" s="34"/>
      <c r="EF105" s="34"/>
      <c r="EG105" s="34"/>
      <c r="EH105" s="34"/>
      <c r="EI105" s="34"/>
      <c r="EJ105" s="34"/>
      <c r="EK105" s="34"/>
      <c r="EL105" s="34"/>
      <c r="EM105" s="34"/>
      <c r="EN105" s="314"/>
      <c r="EO105" s="30"/>
      <c r="EP105" s="315"/>
      <c r="EQ105" s="315"/>
    </row>
    <row r="106" spans="1:147" s="29" customFormat="1" ht="15.75" customHeight="1" hidden="1" thickBot="1" thickTop="1">
      <c r="A106" s="143"/>
      <c r="B106" s="149">
        <f t="shared" si="200"/>
        <v>180</v>
      </c>
      <c r="C106" s="26">
        <f t="shared" si="126"/>
        <v>20911231</v>
      </c>
      <c r="D106" s="26" t="str">
        <f t="shared" si="127"/>
        <v>2091</v>
      </c>
      <c r="E106" s="26" t="str">
        <f t="shared" si="128"/>
        <v>12</v>
      </c>
      <c r="F106" s="26" t="str">
        <f t="shared" si="129"/>
        <v>31</v>
      </c>
      <c r="G106" s="300">
        <f t="shared" si="130"/>
        <v>70128</v>
      </c>
      <c r="H106" s="116">
        <f t="shared" si="122"/>
        <v>90</v>
      </c>
      <c r="I106" s="116">
        <f t="shared" si="131"/>
        <v>4</v>
      </c>
      <c r="J106" s="26">
        <f t="shared" si="132"/>
        <v>30</v>
      </c>
      <c r="K106" s="117">
        <f t="shared" si="133"/>
        <v>92</v>
      </c>
      <c r="L106" s="117">
        <f t="shared" si="134"/>
        <v>3</v>
      </c>
      <c r="M106" s="117">
        <f t="shared" si="135"/>
        <v>8</v>
      </c>
      <c r="N106" s="574" t="str">
        <f t="shared" si="136"/>
        <v>180.1.1~180.12.31</v>
      </c>
      <c r="O106" s="575"/>
      <c r="P106" s="575"/>
      <c r="Q106" s="576"/>
      <c r="R106" s="394">
        <v>60</v>
      </c>
      <c r="S106" s="391">
        <f t="shared" si="137"/>
        <v>122</v>
      </c>
      <c r="T106" s="392">
        <f t="shared" si="138"/>
        <v>92</v>
      </c>
      <c r="U106" s="393">
        <f t="shared" si="139"/>
        <v>214</v>
      </c>
      <c r="V106" s="148">
        <f t="shared" si="140"/>
      </c>
      <c r="W106" s="580">
        <f t="shared" si="120"/>
      </c>
      <c r="X106" s="581"/>
      <c r="Y106" s="581"/>
      <c r="Z106" s="582"/>
      <c r="AA106" s="249">
        <f t="shared" si="141"/>
      </c>
      <c r="AB106" s="248">
        <f t="shared" si="142"/>
      </c>
      <c r="AC106" s="330">
        <f t="shared" si="143"/>
      </c>
      <c r="AD106" s="102"/>
      <c r="AE106" s="118">
        <f t="shared" si="144"/>
        <v>0</v>
      </c>
      <c r="AF106" s="118">
        <f t="shared" si="145"/>
        <v>0</v>
      </c>
      <c r="AG106" s="118">
        <f t="shared" si="121"/>
        <v>1</v>
      </c>
      <c r="AH106" s="118">
        <f>IF(OR(AE106+AF106+AG106&gt;0,SUM($AE$30:AG105)&gt;0),1,0)</f>
        <v>1</v>
      </c>
      <c r="AI106" s="118">
        <f t="shared" si="146"/>
      </c>
      <c r="AJ106" s="118">
        <f t="shared" si="147"/>
      </c>
      <c r="AK106" s="118" t="str">
        <f t="shared" si="148"/>
        <v>符合「年齡滿65歲、年資滿15年」之擇領月退休金條件</v>
      </c>
      <c r="AL106" s="118" t="str">
        <f t="shared" si="112"/>
        <v>符合「年齡滿65歲、年資滿15年」之擇領月退休金條件</v>
      </c>
      <c r="AM106" s="119">
        <f t="shared" si="113"/>
        <v>0</v>
      </c>
      <c r="AN106" s="119">
        <f t="shared" si="114"/>
        <v>1</v>
      </c>
      <c r="AO106" s="119" t="str">
        <f t="shared" si="115"/>
        <v>符合</v>
      </c>
      <c r="AP106" s="119">
        <f t="shared" si="116"/>
        <v>122</v>
      </c>
      <c r="AQ106" s="119">
        <f t="shared" si="117"/>
        <v>20911231</v>
      </c>
      <c r="AR106" s="119" t="str">
        <f t="shared" si="118"/>
        <v>180.1.1~180.12.31</v>
      </c>
      <c r="AS106" s="120">
        <f t="shared" si="149"/>
      </c>
      <c r="AT106" s="121">
        <f t="shared" si="119"/>
      </c>
      <c r="AU106" s="121">
        <f t="shared" si="150"/>
        <v>1</v>
      </c>
      <c r="AV106" s="119">
        <f t="shared" si="151"/>
      </c>
      <c r="AW106" s="122">
        <f t="shared" si="152"/>
      </c>
      <c r="AX106" s="31">
        <f t="shared" si="153"/>
        <v>0</v>
      </c>
      <c r="AY106" s="7">
        <f t="shared" si="154"/>
        <v>1</v>
      </c>
      <c r="AZ106" s="123">
        <f t="shared" si="155"/>
        <v>1</v>
      </c>
      <c r="BA106" s="123">
        <f t="shared" si="156"/>
        <v>0</v>
      </c>
      <c r="BB106" s="123">
        <f t="shared" si="157"/>
      </c>
      <c r="BC106" s="33"/>
      <c r="BD106" s="33"/>
      <c r="BE106" s="33"/>
      <c r="BF106" s="33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4"/>
      <c r="BT106" s="34"/>
      <c r="BU106" s="34"/>
      <c r="BV106" s="34"/>
      <c r="BW106" s="179">
        <f t="shared" si="158"/>
        <v>23</v>
      </c>
      <c r="BX106" s="7">
        <f t="shared" si="159"/>
        <v>9</v>
      </c>
      <c r="BY106" s="20">
        <f t="shared" si="123"/>
        <v>180</v>
      </c>
      <c r="BZ106" s="2" t="str">
        <f t="shared" si="160"/>
        <v>180.2.5</v>
      </c>
      <c r="CA106" s="181">
        <f t="shared" si="161"/>
        <v>2</v>
      </c>
      <c r="CB106" s="2">
        <f t="shared" si="162"/>
        <v>5</v>
      </c>
      <c r="CC106" s="2" t="str">
        <f t="shared" si="163"/>
        <v>180.9.28</v>
      </c>
      <c r="CD106" s="181">
        <f t="shared" si="201"/>
        <v>9</v>
      </c>
      <c r="CE106" s="2">
        <f t="shared" si="202"/>
        <v>28</v>
      </c>
      <c r="CF106" s="2" t="str">
        <f t="shared" si="164"/>
        <v>生日</v>
      </c>
      <c r="CG106" s="2" t="str">
        <f t="shared" si="165"/>
        <v>180.2.5</v>
      </c>
      <c r="CH106" s="2">
        <f t="shared" si="166"/>
        <v>2</v>
      </c>
      <c r="CI106" s="2" t="str">
        <f t="shared" si="167"/>
        <v>初任</v>
      </c>
      <c r="CJ106" s="2" t="str">
        <f t="shared" si="168"/>
        <v>180.9.28</v>
      </c>
      <c r="CK106" s="2">
        <f t="shared" si="169"/>
        <v>9</v>
      </c>
      <c r="CL106" s="2">
        <f t="shared" si="170"/>
        <v>0</v>
      </c>
      <c r="CM106" s="339">
        <f t="shared" si="171"/>
      </c>
      <c r="CN106" s="2">
        <f t="shared" si="172"/>
      </c>
      <c r="CO106" s="2">
        <f t="shared" si="173"/>
      </c>
      <c r="CP106" s="2">
        <f t="shared" si="174"/>
      </c>
      <c r="CQ106" s="2">
        <f t="shared" si="175"/>
      </c>
      <c r="CR106" s="2">
        <f t="shared" si="124"/>
      </c>
      <c r="CS106" s="128">
        <f t="shared" si="125"/>
      </c>
      <c r="CT106" s="2">
        <f t="shared" si="176"/>
      </c>
      <c r="CU106" s="2">
        <f t="shared" si="177"/>
      </c>
      <c r="CV106" s="128">
        <f t="shared" si="178"/>
      </c>
      <c r="CW106" s="2" t="str">
        <f t="shared" si="179"/>
        <v>180.1.1</v>
      </c>
      <c r="CX106" s="2">
        <f t="shared" si="180"/>
        <v>1</v>
      </c>
      <c r="CY106" s="128" t="str">
        <f t="shared" si="181"/>
        <v>180.2.1。【說明：原實際條件成就時間為180.1.1，惟因必須配合學期而延至當學期結束之次日，始能退休生效，爰推算為180.2.1】</v>
      </c>
      <c r="CZ106" s="2">
        <f t="shared" si="182"/>
      </c>
      <c r="DA106" s="2">
        <f t="shared" si="183"/>
      </c>
      <c r="DB106" s="128">
        <f t="shared" si="184"/>
      </c>
      <c r="DC106" s="2">
        <f t="shared" si="185"/>
      </c>
      <c r="DD106" s="2">
        <f t="shared" si="186"/>
      </c>
      <c r="DE106" s="128">
        <f t="shared" si="187"/>
      </c>
      <c r="DF106" s="2"/>
      <c r="DG106" s="2"/>
      <c r="DH106" s="128"/>
      <c r="DI106" s="2">
        <f t="shared" si="188"/>
      </c>
      <c r="DJ106" s="2">
        <f t="shared" si="189"/>
      </c>
      <c r="DK106" s="128">
        <f t="shared" si="190"/>
      </c>
      <c r="DL106" s="128"/>
      <c r="DM106" s="21" t="str">
        <f t="shared" si="191"/>
        <v>180.2.1。【說明：原實際條件成就時間為180.1.1，惟因必須配合學期而延至當學期結束之次日，始能退休生效，爰推算為180.2.1】</v>
      </c>
      <c r="DN106" s="2" t="str">
        <f t="shared" si="192"/>
        <v>180.1.1</v>
      </c>
      <c r="DO106" s="2"/>
      <c r="DP106" s="2"/>
      <c r="DQ106" s="2"/>
      <c r="DR106" s="2"/>
      <c r="DS106" s="2"/>
      <c r="DT106" s="2"/>
      <c r="DU106" s="2"/>
      <c r="DV106" s="10"/>
      <c r="DW106" s="2">
        <f t="shared" si="193"/>
        <v>180</v>
      </c>
      <c r="DX106" s="2" t="str">
        <f t="shared" si="194"/>
        <v>◆但@*%#...喔麥尬～上開生效日期已逾121年底的過渡期，仍否再適用指標數規定，恐有疑義！</v>
      </c>
      <c r="DY106" s="34"/>
      <c r="DZ106" s="7">
        <f t="shared" si="195"/>
        <v>1</v>
      </c>
      <c r="EA106" s="123">
        <f t="shared" si="196"/>
        <v>0</v>
      </c>
      <c r="EB106" s="211">
        <f t="shared" si="197"/>
      </c>
      <c r="EC106" s="210">
        <f t="shared" si="198"/>
      </c>
      <c r="ED106" s="210" t="e">
        <f t="shared" si="199"/>
        <v>#VALUE!</v>
      </c>
      <c r="EE106" s="34"/>
      <c r="EF106" s="34"/>
      <c r="EG106" s="34"/>
      <c r="EH106" s="34"/>
      <c r="EI106" s="34"/>
      <c r="EJ106" s="34"/>
      <c r="EK106" s="34"/>
      <c r="EL106" s="34"/>
      <c r="EM106" s="34"/>
      <c r="EN106" s="314"/>
      <c r="EO106" s="30"/>
      <c r="EP106" s="315"/>
      <c r="EQ106" s="315"/>
    </row>
    <row r="107" spans="1:147" s="29" customFormat="1" ht="15.75" customHeight="1" hidden="1" thickBot="1" thickTop="1">
      <c r="A107" s="143"/>
      <c r="B107" s="149">
        <f t="shared" si="200"/>
        <v>181</v>
      </c>
      <c r="C107" s="26">
        <f t="shared" si="126"/>
        <v>20921231</v>
      </c>
      <c r="D107" s="26" t="str">
        <f t="shared" si="127"/>
        <v>2092</v>
      </c>
      <c r="E107" s="26" t="str">
        <f t="shared" si="128"/>
        <v>12</v>
      </c>
      <c r="F107" s="26" t="str">
        <f t="shared" si="129"/>
        <v>31</v>
      </c>
      <c r="G107" s="300">
        <f t="shared" si="130"/>
        <v>70494</v>
      </c>
      <c r="H107" s="116">
        <f t="shared" si="122"/>
        <v>91</v>
      </c>
      <c r="I107" s="116">
        <f t="shared" si="131"/>
        <v>4</v>
      </c>
      <c r="J107" s="26">
        <f t="shared" si="132"/>
        <v>30</v>
      </c>
      <c r="K107" s="117">
        <f t="shared" si="133"/>
        <v>93</v>
      </c>
      <c r="L107" s="117">
        <f t="shared" si="134"/>
        <v>3</v>
      </c>
      <c r="M107" s="117">
        <f t="shared" si="135"/>
        <v>8</v>
      </c>
      <c r="N107" s="574" t="str">
        <f t="shared" si="136"/>
        <v>181.1.1~181.12.31</v>
      </c>
      <c r="O107" s="575"/>
      <c r="P107" s="575"/>
      <c r="Q107" s="576"/>
      <c r="R107" s="394">
        <v>60</v>
      </c>
      <c r="S107" s="391">
        <f t="shared" si="137"/>
        <v>123</v>
      </c>
      <c r="T107" s="392">
        <f t="shared" si="138"/>
        <v>93</v>
      </c>
      <c r="U107" s="393">
        <f t="shared" si="139"/>
        <v>216</v>
      </c>
      <c r="V107" s="148">
        <f t="shared" si="140"/>
      </c>
      <c r="W107" s="580">
        <f t="shared" si="120"/>
      </c>
      <c r="X107" s="581"/>
      <c r="Y107" s="581"/>
      <c r="Z107" s="582"/>
      <c r="AA107" s="249">
        <f t="shared" si="141"/>
      </c>
      <c r="AB107" s="248">
        <f t="shared" si="142"/>
      </c>
      <c r="AC107" s="330">
        <f t="shared" si="143"/>
      </c>
      <c r="AD107" s="102"/>
      <c r="AE107" s="118">
        <f t="shared" si="144"/>
        <v>0</v>
      </c>
      <c r="AF107" s="118">
        <f t="shared" si="145"/>
        <v>0</v>
      </c>
      <c r="AG107" s="118">
        <f t="shared" si="121"/>
        <v>1</v>
      </c>
      <c r="AH107" s="118">
        <f>IF(OR(AE107+AF107+AG107&gt;0,SUM($AE$30:AG106)&gt;0),1,0)</f>
        <v>1</v>
      </c>
      <c r="AI107" s="118">
        <f t="shared" si="146"/>
      </c>
      <c r="AJ107" s="118">
        <f t="shared" si="147"/>
      </c>
      <c r="AK107" s="118" t="str">
        <f t="shared" si="148"/>
        <v>符合「年齡滿65歲、年資滿15年」之擇領月退休金條件</v>
      </c>
      <c r="AL107" s="118" t="str">
        <f t="shared" si="112"/>
        <v>符合「年齡滿65歲、年資滿15年」之擇領月退休金條件</v>
      </c>
      <c r="AM107" s="119">
        <f t="shared" si="113"/>
        <v>0</v>
      </c>
      <c r="AN107" s="119">
        <f t="shared" si="114"/>
        <v>1</v>
      </c>
      <c r="AO107" s="119" t="str">
        <f t="shared" si="115"/>
        <v>符合</v>
      </c>
      <c r="AP107" s="119">
        <f t="shared" si="116"/>
        <v>123</v>
      </c>
      <c r="AQ107" s="119">
        <f t="shared" si="117"/>
        <v>20921231</v>
      </c>
      <c r="AR107" s="119" t="str">
        <f t="shared" si="118"/>
        <v>181.1.1~181.12.31</v>
      </c>
      <c r="AS107" s="120">
        <f t="shared" si="149"/>
      </c>
      <c r="AT107" s="121">
        <f t="shared" si="119"/>
      </c>
      <c r="AU107" s="121">
        <f t="shared" si="150"/>
        <v>1</v>
      </c>
      <c r="AV107" s="119">
        <f t="shared" si="151"/>
      </c>
      <c r="AW107" s="122">
        <f t="shared" si="152"/>
      </c>
      <c r="AX107" s="31">
        <f t="shared" si="153"/>
        <v>0</v>
      </c>
      <c r="AY107" s="7">
        <f t="shared" si="154"/>
        <v>1</v>
      </c>
      <c r="AZ107" s="123">
        <f t="shared" si="155"/>
        <v>1</v>
      </c>
      <c r="BA107" s="123">
        <f t="shared" si="156"/>
        <v>0</v>
      </c>
      <c r="BB107" s="123">
        <f t="shared" si="157"/>
      </c>
      <c r="BC107" s="33"/>
      <c r="BD107" s="33"/>
      <c r="BE107" s="33"/>
      <c r="BF107" s="33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4"/>
      <c r="BT107" s="34"/>
      <c r="BU107" s="34"/>
      <c r="BV107" s="34"/>
      <c r="BW107" s="179">
        <f t="shared" si="158"/>
        <v>23</v>
      </c>
      <c r="BX107" s="7">
        <f t="shared" si="159"/>
        <v>9</v>
      </c>
      <c r="BY107" s="20">
        <f t="shared" si="123"/>
        <v>181</v>
      </c>
      <c r="BZ107" s="2" t="str">
        <f t="shared" si="160"/>
        <v>181.2.5</v>
      </c>
      <c r="CA107" s="181">
        <f t="shared" si="161"/>
        <v>2</v>
      </c>
      <c r="CB107" s="2">
        <f t="shared" si="162"/>
        <v>5</v>
      </c>
      <c r="CC107" s="2" t="str">
        <f t="shared" si="163"/>
        <v>181.9.28</v>
      </c>
      <c r="CD107" s="181">
        <f t="shared" si="201"/>
        <v>9</v>
      </c>
      <c r="CE107" s="2">
        <f t="shared" si="202"/>
        <v>28</v>
      </c>
      <c r="CF107" s="2" t="str">
        <f t="shared" si="164"/>
        <v>生日</v>
      </c>
      <c r="CG107" s="2" t="str">
        <f t="shared" si="165"/>
        <v>181.2.5</v>
      </c>
      <c r="CH107" s="2">
        <f t="shared" si="166"/>
        <v>2</v>
      </c>
      <c r="CI107" s="2" t="str">
        <f t="shared" si="167"/>
        <v>初任</v>
      </c>
      <c r="CJ107" s="2" t="str">
        <f t="shared" si="168"/>
        <v>181.9.28</v>
      </c>
      <c r="CK107" s="2">
        <f t="shared" si="169"/>
        <v>9</v>
      </c>
      <c r="CL107" s="2">
        <f t="shared" si="170"/>
        <v>0</v>
      </c>
      <c r="CM107" s="339">
        <f t="shared" si="171"/>
      </c>
      <c r="CN107" s="2">
        <f t="shared" si="172"/>
      </c>
      <c r="CO107" s="2">
        <f t="shared" si="173"/>
      </c>
      <c r="CP107" s="2">
        <f t="shared" si="174"/>
      </c>
      <c r="CQ107" s="2">
        <f t="shared" si="175"/>
      </c>
      <c r="CR107" s="2">
        <f t="shared" si="124"/>
      </c>
      <c r="CS107" s="128">
        <f t="shared" si="125"/>
      </c>
      <c r="CT107" s="2">
        <f t="shared" si="176"/>
      </c>
      <c r="CU107" s="2">
        <f t="shared" si="177"/>
      </c>
      <c r="CV107" s="128">
        <f t="shared" si="178"/>
      </c>
      <c r="CW107" s="2" t="str">
        <f t="shared" si="179"/>
        <v>181.1.1</v>
      </c>
      <c r="CX107" s="2">
        <f t="shared" si="180"/>
        <v>1</v>
      </c>
      <c r="CY107" s="128" t="str">
        <f t="shared" si="181"/>
        <v>181.2.1。【說明：原實際條件成就時間為181.1.1，惟因必須配合學期而延至當學期結束之次日，始能退休生效，爰推算為181.2.1】</v>
      </c>
      <c r="CZ107" s="2">
        <f t="shared" si="182"/>
      </c>
      <c r="DA107" s="2">
        <f t="shared" si="183"/>
      </c>
      <c r="DB107" s="128">
        <f t="shared" si="184"/>
      </c>
      <c r="DC107" s="2">
        <f t="shared" si="185"/>
      </c>
      <c r="DD107" s="2">
        <f t="shared" si="186"/>
      </c>
      <c r="DE107" s="128">
        <f t="shared" si="187"/>
      </c>
      <c r="DF107" s="2"/>
      <c r="DG107" s="2"/>
      <c r="DH107" s="128"/>
      <c r="DI107" s="2">
        <f t="shared" si="188"/>
      </c>
      <c r="DJ107" s="2">
        <f t="shared" si="189"/>
      </c>
      <c r="DK107" s="128">
        <f t="shared" si="190"/>
      </c>
      <c r="DL107" s="128"/>
      <c r="DM107" s="21" t="str">
        <f t="shared" si="191"/>
        <v>181.2.1。【說明：原實際條件成就時間為181.1.1，惟因必須配合學期而延至當學期結束之次日，始能退休生效，爰推算為181.2.1】</v>
      </c>
      <c r="DN107" s="2" t="str">
        <f t="shared" si="192"/>
        <v>181.1.1</v>
      </c>
      <c r="DO107" s="2"/>
      <c r="DP107" s="2"/>
      <c r="DQ107" s="2"/>
      <c r="DR107" s="2"/>
      <c r="DS107" s="2"/>
      <c r="DT107" s="2"/>
      <c r="DU107" s="2"/>
      <c r="DV107" s="10"/>
      <c r="DW107" s="2">
        <f t="shared" si="193"/>
        <v>181</v>
      </c>
      <c r="DX107" s="2" t="str">
        <f t="shared" si="194"/>
        <v>◆但@*%#...喔麥尬～上開生效日期已逾121年底的過渡期，仍否再適用指標數規定，恐有疑義！</v>
      </c>
      <c r="DY107" s="34"/>
      <c r="DZ107" s="7">
        <f t="shared" si="195"/>
        <v>1</v>
      </c>
      <c r="EA107" s="123">
        <f t="shared" si="196"/>
        <v>0</v>
      </c>
      <c r="EB107" s="211">
        <f t="shared" si="197"/>
      </c>
      <c r="EC107" s="210">
        <f t="shared" si="198"/>
      </c>
      <c r="ED107" s="210" t="e">
        <f t="shared" si="199"/>
        <v>#VALUE!</v>
      </c>
      <c r="EE107" s="34"/>
      <c r="EF107" s="34"/>
      <c r="EG107" s="34"/>
      <c r="EH107" s="34"/>
      <c r="EI107" s="34"/>
      <c r="EJ107" s="34"/>
      <c r="EK107" s="34"/>
      <c r="EL107" s="34"/>
      <c r="EM107" s="34"/>
      <c r="EN107" s="314"/>
      <c r="EO107" s="30"/>
      <c r="EP107" s="315"/>
      <c r="EQ107" s="315"/>
    </row>
    <row r="108" spans="1:147" s="29" customFormat="1" ht="15.75" customHeight="1" hidden="1" thickBot="1" thickTop="1">
      <c r="A108" s="143"/>
      <c r="B108" s="149">
        <f t="shared" si="200"/>
        <v>182</v>
      </c>
      <c r="C108" s="26">
        <f t="shared" si="126"/>
        <v>20931231</v>
      </c>
      <c r="D108" s="26" t="str">
        <f t="shared" si="127"/>
        <v>2093</v>
      </c>
      <c r="E108" s="26" t="str">
        <f t="shared" si="128"/>
        <v>12</v>
      </c>
      <c r="F108" s="26" t="str">
        <f t="shared" si="129"/>
        <v>31</v>
      </c>
      <c r="G108" s="300">
        <f t="shared" si="130"/>
        <v>70859</v>
      </c>
      <c r="H108" s="116">
        <f t="shared" si="122"/>
        <v>92</v>
      </c>
      <c r="I108" s="116">
        <f t="shared" si="131"/>
        <v>4</v>
      </c>
      <c r="J108" s="26">
        <f t="shared" si="132"/>
        <v>30</v>
      </c>
      <c r="K108" s="117">
        <f t="shared" si="133"/>
        <v>94</v>
      </c>
      <c r="L108" s="117">
        <f t="shared" si="134"/>
        <v>3</v>
      </c>
      <c r="M108" s="117">
        <f t="shared" si="135"/>
        <v>8</v>
      </c>
      <c r="N108" s="574" t="str">
        <f t="shared" si="136"/>
        <v>182.1.1~182.12.31</v>
      </c>
      <c r="O108" s="575"/>
      <c r="P108" s="575"/>
      <c r="Q108" s="576"/>
      <c r="R108" s="394">
        <v>60</v>
      </c>
      <c r="S108" s="391">
        <f t="shared" si="137"/>
        <v>124</v>
      </c>
      <c r="T108" s="392">
        <f t="shared" si="138"/>
        <v>94</v>
      </c>
      <c r="U108" s="393">
        <f t="shared" si="139"/>
        <v>218</v>
      </c>
      <c r="V108" s="148">
        <f t="shared" si="140"/>
      </c>
      <c r="W108" s="580">
        <f t="shared" si="120"/>
      </c>
      <c r="X108" s="581"/>
      <c r="Y108" s="581"/>
      <c r="Z108" s="582"/>
      <c r="AA108" s="249">
        <f t="shared" si="141"/>
      </c>
      <c r="AB108" s="248">
        <f t="shared" si="142"/>
      </c>
      <c r="AC108" s="330">
        <f t="shared" si="143"/>
      </c>
      <c r="AD108" s="102"/>
      <c r="AE108" s="118">
        <f t="shared" si="144"/>
        <v>0</v>
      </c>
      <c r="AF108" s="118">
        <f t="shared" si="145"/>
        <v>0</v>
      </c>
      <c r="AG108" s="118">
        <f t="shared" si="121"/>
        <v>1</v>
      </c>
      <c r="AH108" s="118">
        <f>IF(OR(AE108+AF108+AG108&gt;0,SUM($AE$30:AG107)&gt;0),1,0)</f>
        <v>1</v>
      </c>
      <c r="AI108" s="118">
        <f t="shared" si="146"/>
      </c>
      <c r="AJ108" s="118">
        <f t="shared" si="147"/>
      </c>
      <c r="AK108" s="118" t="str">
        <f t="shared" si="148"/>
        <v>符合「年齡滿65歲、年資滿15年」之擇領月退休金條件</v>
      </c>
      <c r="AL108" s="118" t="str">
        <f t="shared" si="112"/>
        <v>符合「年齡滿65歲、年資滿15年」之擇領月退休金條件</v>
      </c>
      <c r="AM108" s="119">
        <f t="shared" si="113"/>
        <v>0</v>
      </c>
      <c r="AN108" s="119">
        <f t="shared" si="114"/>
        <v>1</v>
      </c>
      <c r="AO108" s="119" t="str">
        <f t="shared" si="115"/>
        <v>符合</v>
      </c>
      <c r="AP108" s="119">
        <f t="shared" si="116"/>
        <v>124</v>
      </c>
      <c r="AQ108" s="119">
        <f t="shared" si="117"/>
        <v>20931231</v>
      </c>
      <c r="AR108" s="119" t="str">
        <f t="shared" si="118"/>
        <v>182.1.1~182.12.31</v>
      </c>
      <c r="AS108" s="120">
        <f t="shared" si="149"/>
      </c>
      <c r="AT108" s="121">
        <f t="shared" si="119"/>
      </c>
      <c r="AU108" s="121">
        <f t="shared" si="150"/>
        <v>1</v>
      </c>
      <c r="AV108" s="119">
        <f t="shared" si="151"/>
      </c>
      <c r="AW108" s="122">
        <f t="shared" si="152"/>
      </c>
      <c r="AX108" s="31">
        <f t="shared" si="153"/>
        <v>0</v>
      </c>
      <c r="AY108" s="7">
        <f t="shared" si="154"/>
        <v>1</v>
      </c>
      <c r="AZ108" s="123">
        <f t="shared" si="155"/>
        <v>1</v>
      </c>
      <c r="BA108" s="123">
        <f t="shared" si="156"/>
        <v>0</v>
      </c>
      <c r="BB108" s="123">
        <f t="shared" si="157"/>
      </c>
      <c r="BC108" s="33"/>
      <c r="BD108" s="33"/>
      <c r="BE108" s="33"/>
      <c r="BF108" s="33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4"/>
      <c r="BT108" s="34"/>
      <c r="BU108" s="34"/>
      <c r="BV108" s="34"/>
      <c r="BW108" s="179">
        <f t="shared" si="158"/>
        <v>23</v>
      </c>
      <c r="BX108" s="7">
        <f t="shared" si="159"/>
        <v>9</v>
      </c>
      <c r="BY108" s="20">
        <f t="shared" si="123"/>
        <v>182</v>
      </c>
      <c r="BZ108" s="2" t="str">
        <f t="shared" si="160"/>
        <v>182.2.5</v>
      </c>
      <c r="CA108" s="181">
        <f t="shared" si="161"/>
        <v>2</v>
      </c>
      <c r="CB108" s="2">
        <f t="shared" si="162"/>
        <v>5</v>
      </c>
      <c r="CC108" s="2" t="str">
        <f t="shared" si="163"/>
        <v>182.9.28</v>
      </c>
      <c r="CD108" s="181">
        <f t="shared" si="201"/>
        <v>9</v>
      </c>
      <c r="CE108" s="2">
        <f t="shared" si="202"/>
        <v>28</v>
      </c>
      <c r="CF108" s="2" t="str">
        <f t="shared" si="164"/>
        <v>生日</v>
      </c>
      <c r="CG108" s="2" t="str">
        <f t="shared" si="165"/>
        <v>182.2.5</v>
      </c>
      <c r="CH108" s="2">
        <f t="shared" si="166"/>
        <v>2</v>
      </c>
      <c r="CI108" s="2" t="str">
        <f t="shared" si="167"/>
        <v>初任</v>
      </c>
      <c r="CJ108" s="2" t="str">
        <f t="shared" si="168"/>
        <v>182.9.28</v>
      </c>
      <c r="CK108" s="2">
        <f t="shared" si="169"/>
        <v>9</v>
      </c>
      <c r="CL108" s="2">
        <f t="shared" si="170"/>
        <v>0</v>
      </c>
      <c r="CM108" s="339">
        <f t="shared" si="171"/>
      </c>
      <c r="CN108" s="2">
        <f t="shared" si="172"/>
      </c>
      <c r="CO108" s="2">
        <f t="shared" si="173"/>
      </c>
      <c r="CP108" s="2">
        <f t="shared" si="174"/>
      </c>
      <c r="CQ108" s="2">
        <f t="shared" si="175"/>
      </c>
      <c r="CR108" s="2">
        <f t="shared" si="124"/>
      </c>
      <c r="CS108" s="128">
        <f t="shared" si="125"/>
      </c>
      <c r="CT108" s="2">
        <f t="shared" si="176"/>
      </c>
      <c r="CU108" s="2">
        <f t="shared" si="177"/>
      </c>
      <c r="CV108" s="128">
        <f t="shared" si="178"/>
      </c>
      <c r="CW108" s="2" t="str">
        <f t="shared" si="179"/>
        <v>182.1.1</v>
      </c>
      <c r="CX108" s="2">
        <f t="shared" si="180"/>
        <v>1</v>
      </c>
      <c r="CY108" s="128" t="str">
        <f t="shared" si="181"/>
        <v>182.2.1。【說明：原實際條件成就時間為182.1.1，惟因必須配合學期而延至當學期結束之次日，始能退休生效，爰推算為182.2.1】</v>
      </c>
      <c r="CZ108" s="2">
        <f t="shared" si="182"/>
      </c>
      <c r="DA108" s="2">
        <f t="shared" si="183"/>
      </c>
      <c r="DB108" s="128">
        <f t="shared" si="184"/>
      </c>
      <c r="DC108" s="2">
        <f t="shared" si="185"/>
      </c>
      <c r="DD108" s="2">
        <f t="shared" si="186"/>
      </c>
      <c r="DE108" s="128">
        <f t="shared" si="187"/>
      </c>
      <c r="DF108" s="2"/>
      <c r="DG108" s="2"/>
      <c r="DH108" s="128"/>
      <c r="DI108" s="2">
        <f t="shared" si="188"/>
      </c>
      <c r="DJ108" s="2">
        <f t="shared" si="189"/>
      </c>
      <c r="DK108" s="128">
        <f t="shared" si="190"/>
      </c>
      <c r="DL108" s="128"/>
      <c r="DM108" s="21" t="str">
        <f t="shared" si="191"/>
        <v>182.2.1。【說明：原實際條件成就時間為182.1.1，惟因必須配合學期而延至當學期結束之次日，始能退休生效，爰推算為182.2.1】</v>
      </c>
      <c r="DN108" s="2" t="str">
        <f t="shared" si="192"/>
        <v>182.1.1</v>
      </c>
      <c r="DO108" s="2"/>
      <c r="DP108" s="2"/>
      <c r="DQ108" s="2"/>
      <c r="DR108" s="2"/>
      <c r="DS108" s="2"/>
      <c r="DT108" s="2"/>
      <c r="DU108" s="2"/>
      <c r="DV108" s="10"/>
      <c r="DW108" s="2">
        <f t="shared" si="193"/>
        <v>182</v>
      </c>
      <c r="DX108" s="2" t="str">
        <f t="shared" si="194"/>
        <v>◆但@*%#...喔麥尬～上開生效日期已逾121年底的過渡期，仍否再適用指標數規定，恐有疑義！</v>
      </c>
      <c r="DY108" s="34"/>
      <c r="DZ108" s="7">
        <f t="shared" si="195"/>
        <v>1</v>
      </c>
      <c r="EA108" s="123">
        <f t="shared" si="196"/>
        <v>0</v>
      </c>
      <c r="EB108" s="211">
        <f t="shared" si="197"/>
      </c>
      <c r="EC108" s="210">
        <f t="shared" si="198"/>
      </c>
      <c r="ED108" s="210" t="e">
        <f t="shared" si="199"/>
        <v>#VALUE!</v>
      </c>
      <c r="EE108" s="34"/>
      <c r="EF108" s="34"/>
      <c r="EG108" s="34"/>
      <c r="EH108" s="34"/>
      <c r="EI108" s="34"/>
      <c r="EJ108" s="34"/>
      <c r="EK108" s="34"/>
      <c r="EL108" s="34"/>
      <c r="EM108" s="34"/>
      <c r="EN108" s="314"/>
      <c r="EO108" s="30"/>
      <c r="EP108" s="315"/>
      <c r="EQ108" s="315"/>
    </row>
    <row r="109" spans="1:147" s="29" customFormat="1" ht="15.75" customHeight="1" hidden="1" thickBot="1" thickTop="1">
      <c r="A109" s="143"/>
      <c r="B109" s="149">
        <f t="shared" si="200"/>
        <v>183</v>
      </c>
      <c r="C109" s="26">
        <f t="shared" si="126"/>
        <v>20941231</v>
      </c>
      <c r="D109" s="26" t="str">
        <f t="shared" si="127"/>
        <v>2094</v>
      </c>
      <c r="E109" s="26" t="str">
        <f t="shared" si="128"/>
        <v>12</v>
      </c>
      <c r="F109" s="26" t="str">
        <f t="shared" si="129"/>
        <v>31</v>
      </c>
      <c r="G109" s="300">
        <f t="shared" si="130"/>
        <v>71224</v>
      </c>
      <c r="H109" s="116">
        <f t="shared" si="122"/>
        <v>93</v>
      </c>
      <c r="I109" s="116">
        <f t="shared" si="131"/>
        <v>4</v>
      </c>
      <c r="J109" s="26">
        <f t="shared" si="132"/>
        <v>30</v>
      </c>
      <c r="K109" s="117">
        <f t="shared" si="133"/>
        <v>95</v>
      </c>
      <c r="L109" s="117">
        <f t="shared" si="134"/>
        <v>3</v>
      </c>
      <c r="M109" s="117">
        <f t="shared" si="135"/>
        <v>8</v>
      </c>
      <c r="N109" s="574" t="str">
        <f t="shared" si="136"/>
        <v>183.1.1~183.12.31</v>
      </c>
      <c r="O109" s="575"/>
      <c r="P109" s="575"/>
      <c r="Q109" s="576"/>
      <c r="R109" s="394">
        <v>60</v>
      </c>
      <c r="S109" s="391">
        <f t="shared" si="137"/>
        <v>125</v>
      </c>
      <c r="T109" s="392">
        <f t="shared" si="138"/>
        <v>95</v>
      </c>
      <c r="U109" s="393">
        <f t="shared" si="139"/>
        <v>220</v>
      </c>
      <c r="V109" s="148">
        <f t="shared" si="140"/>
      </c>
      <c r="W109" s="580">
        <f t="shared" si="120"/>
      </c>
      <c r="X109" s="581"/>
      <c r="Y109" s="581"/>
      <c r="Z109" s="582"/>
      <c r="AA109" s="249">
        <f t="shared" si="141"/>
      </c>
      <c r="AB109" s="248">
        <f t="shared" si="142"/>
      </c>
      <c r="AC109" s="330">
        <f t="shared" si="143"/>
      </c>
      <c r="AD109" s="102"/>
      <c r="AE109" s="118">
        <f t="shared" si="144"/>
        <v>0</v>
      </c>
      <c r="AF109" s="118">
        <f t="shared" si="145"/>
        <v>0</v>
      </c>
      <c r="AG109" s="118">
        <f t="shared" si="121"/>
        <v>1</v>
      </c>
      <c r="AH109" s="118">
        <f>IF(OR(AE109+AF109+AG109&gt;0,SUM($AE$30:AG108)&gt;0),1,0)</f>
        <v>1</v>
      </c>
      <c r="AI109" s="118">
        <f t="shared" si="146"/>
      </c>
      <c r="AJ109" s="118">
        <f t="shared" si="147"/>
      </c>
      <c r="AK109" s="118" t="str">
        <f t="shared" si="148"/>
        <v>符合「年齡滿65歲、年資滿15年」之擇領月退休金條件</v>
      </c>
      <c r="AL109" s="118" t="str">
        <f t="shared" si="112"/>
        <v>符合「年齡滿65歲、年資滿15年」之擇領月退休金條件</v>
      </c>
      <c r="AM109" s="119">
        <f t="shared" si="113"/>
        <v>0</v>
      </c>
      <c r="AN109" s="119">
        <f t="shared" si="114"/>
        <v>1</v>
      </c>
      <c r="AO109" s="119" t="str">
        <f t="shared" si="115"/>
        <v>符合</v>
      </c>
      <c r="AP109" s="119">
        <f t="shared" si="116"/>
        <v>125</v>
      </c>
      <c r="AQ109" s="119">
        <f t="shared" si="117"/>
        <v>20941231</v>
      </c>
      <c r="AR109" s="119" t="str">
        <f t="shared" si="118"/>
        <v>183.1.1~183.12.31</v>
      </c>
      <c r="AS109" s="120">
        <f t="shared" si="149"/>
      </c>
      <c r="AT109" s="121">
        <f t="shared" si="119"/>
      </c>
      <c r="AU109" s="121">
        <f t="shared" si="150"/>
        <v>1</v>
      </c>
      <c r="AV109" s="119">
        <f t="shared" si="151"/>
      </c>
      <c r="AW109" s="122">
        <f t="shared" si="152"/>
      </c>
      <c r="AX109" s="31">
        <f t="shared" si="153"/>
        <v>0</v>
      </c>
      <c r="AY109" s="7">
        <f t="shared" si="154"/>
        <v>1</v>
      </c>
      <c r="AZ109" s="123">
        <f t="shared" si="155"/>
        <v>1</v>
      </c>
      <c r="BA109" s="123">
        <f t="shared" si="156"/>
        <v>0</v>
      </c>
      <c r="BB109" s="123">
        <f t="shared" si="157"/>
      </c>
      <c r="BC109" s="33"/>
      <c r="BD109" s="33"/>
      <c r="BE109" s="33"/>
      <c r="BF109" s="33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4"/>
      <c r="BT109" s="34"/>
      <c r="BU109" s="34"/>
      <c r="BV109" s="34"/>
      <c r="BW109" s="179">
        <f t="shared" si="158"/>
        <v>23</v>
      </c>
      <c r="BX109" s="7">
        <f t="shared" si="159"/>
        <v>9</v>
      </c>
      <c r="BY109" s="20">
        <f t="shared" si="123"/>
        <v>183</v>
      </c>
      <c r="BZ109" s="2" t="str">
        <f t="shared" si="160"/>
        <v>183.2.5</v>
      </c>
      <c r="CA109" s="181">
        <f t="shared" si="161"/>
        <v>2</v>
      </c>
      <c r="CB109" s="2">
        <f t="shared" si="162"/>
        <v>5</v>
      </c>
      <c r="CC109" s="2" t="str">
        <f t="shared" si="163"/>
        <v>183.9.28</v>
      </c>
      <c r="CD109" s="181">
        <f t="shared" si="201"/>
        <v>9</v>
      </c>
      <c r="CE109" s="2">
        <f t="shared" si="202"/>
        <v>28</v>
      </c>
      <c r="CF109" s="2" t="str">
        <f t="shared" si="164"/>
        <v>生日</v>
      </c>
      <c r="CG109" s="2" t="str">
        <f t="shared" si="165"/>
        <v>183.2.5</v>
      </c>
      <c r="CH109" s="2">
        <f t="shared" si="166"/>
        <v>2</v>
      </c>
      <c r="CI109" s="2" t="str">
        <f t="shared" si="167"/>
        <v>初任</v>
      </c>
      <c r="CJ109" s="2" t="str">
        <f t="shared" si="168"/>
        <v>183.9.28</v>
      </c>
      <c r="CK109" s="2">
        <f t="shared" si="169"/>
        <v>9</v>
      </c>
      <c r="CL109" s="2">
        <f t="shared" si="170"/>
        <v>0</v>
      </c>
      <c r="CM109" s="339">
        <f t="shared" si="171"/>
      </c>
      <c r="CN109" s="2">
        <f t="shared" si="172"/>
      </c>
      <c r="CO109" s="2">
        <f t="shared" si="173"/>
      </c>
      <c r="CP109" s="2">
        <f t="shared" si="174"/>
      </c>
      <c r="CQ109" s="2">
        <f t="shared" si="175"/>
      </c>
      <c r="CR109" s="2">
        <f t="shared" si="124"/>
      </c>
      <c r="CS109" s="128">
        <f t="shared" si="125"/>
      </c>
      <c r="CT109" s="2">
        <f t="shared" si="176"/>
      </c>
      <c r="CU109" s="2">
        <f t="shared" si="177"/>
      </c>
      <c r="CV109" s="128">
        <f t="shared" si="178"/>
      </c>
      <c r="CW109" s="2" t="str">
        <f t="shared" si="179"/>
        <v>183.1.1</v>
      </c>
      <c r="CX109" s="2">
        <f t="shared" si="180"/>
        <v>1</v>
      </c>
      <c r="CY109" s="128" t="str">
        <f t="shared" si="181"/>
        <v>183.2.1。【說明：原實際條件成就時間為183.1.1，惟因必須配合學期而延至當學期結束之次日，始能退休生效，爰推算為183.2.1】</v>
      </c>
      <c r="CZ109" s="2">
        <f t="shared" si="182"/>
      </c>
      <c r="DA109" s="2">
        <f t="shared" si="183"/>
      </c>
      <c r="DB109" s="128">
        <f t="shared" si="184"/>
      </c>
      <c r="DC109" s="2">
        <f t="shared" si="185"/>
      </c>
      <c r="DD109" s="2">
        <f t="shared" si="186"/>
      </c>
      <c r="DE109" s="128">
        <f t="shared" si="187"/>
      </c>
      <c r="DF109" s="2"/>
      <c r="DG109" s="2"/>
      <c r="DH109" s="128"/>
      <c r="DI109" s="2">
        <f t="shared" si="188"/>
      </c>
      <c r="DJ109" s="2">
        <f t="shared" si="189"/>
      </c>
      <c r="DK109" s="128">
        <f t="shared" si="190"/>
      </c>
      <c r="DL109" s="128"/>
      <c r="DM109" s="21" t="str">
        <f t="shared" si="191"/>
        <v>183.2.1。【說明：原實際條件成就時間為183.1.1，惟因必須配合學期而延至當學期結束之次日，始能退休生效，爰推算為183.2.1】</v>
      </c>
      <c r="DN109" s="2" t="str">
        <f t="shared" si="192"/>
        <v>183.1.1</v>
      </c>
      <c r="DO109" s="2"/>
      <c r="DP109" s="2"/>
      <c r="DQ109" s="2"/>
      <c r="DR109" s="2"/>
      <c r="DS109" s="2"/>
      <c r="DT109" s="2"/>
      <c r="DU109" s="2"/>
      <c r="DV109" s="10"/>
      <c r="DW109" s="2">
        <f t="shared" si="193"/>
        <v>183</v>
      </c>
      <c r="DX109" s="2" t="str">
        <f t="shared" si="194"/>
        <v>◆但@*%#...喔麥尬～上開生效日期已逾121年底的過渡期，仍否再適用指標數規定，恐有疑義！</v>
      </c>
      <c r="DY109" s="34"/>
      <c r="DZ109" s="7">
        <f t="shared" si="195"/>
        <v>1</v>
      </c>
      <c r="EA109" s="123">
        <f t="shared" si="196"/>
        <v>0</v>
      </c>
      <c r="EB109" s="211">
        <f t="shared" si="197"/>
      </c>
      <c r="EC109" s="210">
        <f t="shared" si="198"/>
      </c>
      <c r="ED109" s="210" t="e">
        <f t="shared" si="199"/>
        <v>#VALUE!</v>
      </c>
      <c r="EE109" s="34"/>
      <c r="EF109" s="34"/>
      <c r="EG109" s="34"/>
      <c r="EH109" s="34"/>
      <c r="EI109" s="34"/>
      <c r="EJ109" s="34"/>
      <c r="EK109" s="34"/>
      <c r="EL109" s="34"/>
      <c r="EM109" s="34"/>
      <c r="EN109" s="314"/>
      <c r="EO109" s="30"/>
      <c r="EP109" s="315"/>
      <c r="EQ109" s="315"/>
    </row>
    <row r="110" spans="1:147" s="29" customFormat="1" ht="15.75" customHeight="1" hidden="1" thickBot="1" thickTop="1">
      <c r="A110" s="143"/>
      <c r="B110" s="149">
        <f t="shared" si="200"/>
        <v>184</v>
      </c>
      <c r="C110" s="26">
        <f t="shared" si="126"/>
        <v>20951231</v>
      </c>
      <c r="D110" s="26" t="str">
        <f t="shared" si="127"/>
        <v>2095</v>
      </c>
      <c r="E110" s="26" t="str">
        <f t="shared" si="128"/>
        <v>12</v>
      </c>
      <c r="F110" s="26" t="str">
        <f t="shared" si="129"/>
        <v>31</v>
      </c>
      <c r="G110" s="300">
        <f t="shared" si="130"/>
        <v>71589</v>
      </c>
      <c r="H110" s="116">
        <f t="shared" si="122"/>
        <v>94</v>
      </c>
      <c r="I110" s="116">
        <f t="shared" si="131"/>
        <v>4</v>
      </c>
      <c r="J110" s="26">
        <f t="shared" si="132"/>
        <v>30</v>
      </c>
      <c r="K110" s="117">
        <f t="shared" si="133"/>
        <v>96</v>
      </c>
      <c r="L110" s="117">
        <f t="shared" si="134"/>
        <v>3</v>
      </c>
      <c r="M110" s="117">
        <f t="shared" si="135"/>
        <v>8</v>
      </c>
      <c r="N110" s="574" t="str">
        <f t="shared" si="136"/>
        <v>184.1.1~184.12.31</v>
      </c>
      <c r="O110" s="575"/>
      <c r="P110" s="575"/>
      <c r="Q110" s="576"/>
      <c r="R110" s="394">
        <v>60</v>
      </c>
      <c r="S110" s="391">
        <f t="shared" si="137"/>
        <v>126</v>
      </c>
      <c r="T110" s="392">
        <f t="shared" si="138"/>
        <v>96</v>
      </c>
      <c r="U110" s="393">
        <f t="shared" si="139"/>
        <v>222</v>
      </c>
      <c r="V110" s="148">
        <f t="shared" si="140"/>
      </c>
      <c r="W110" s="580">
        <f t="shared" si="120"/>
      </c>
      <c r="X110" s="581"/>
      <c r="Y110" s="581"/>
      <c r="Z110" s="582"/>
      <c r="AA110" s="249">
        <f t="shared" si="141"/>
      </c>
      <c r="AB110" s="248">
        <f t="shared" si="142"/>
      </c>
      <c r="AC110" s="330">
        <f t="shared" si="143"/>
      </c>
      <c r="AD110" s="102"/>
      <c r="AE110" s="118">
        <f t="shared" si="144"/>
        <v>0</v>
      </c>
      <c r="AF110" s="118">
        <f t="shared" si="145"/>
        <v>0</v>
      </c>
      <c r="AG110" s="118">
        <f t="shared" si="121"/>
        <v>1</v>
      </c>
      <c r="AH110" s="118">
        <f>IF(OR(AE110+AF110+AG110&gt;0,SUM($AE$30:AG109)&gt;0),1,0)</f>
        <v>1</v>
      </c>
      <c r="AI110" s="118">
        <f t="shared" si="146"/>
      </c>
      <c r="AJ110" s="118">
        <f t="shared" si="147"/>
      </c>
      <c r="AK110" s="118" t="str">
        <f t="shared" si="148"/>
        <v>符合「年齡滿65歲、年資滿15年」之擇領月退休金條件</v>
      </c>
      <c r="AL110" s="118" t="str">
        <f t="shared" si="112"/>
        <v>符合「年齡滿65歲、年資滿15年」之擇領月退休金條件</v>
      </c>
      <c r="AM110" s="119">
        <f t="shared" si="113"/>
        <v>0</v>
      </c>
      <c r="AN110" s="119">
        <f t="shared" si="114"/>
        <v>1</v>
      </c>
      <c r="AO110" s="119" t="str">
        <f t="shared" si="115"/>
        <v>符合</v>
      </c>
      <c r="AP110" s="119">
        <f t="shared" si="116"/>
        <v>126</v>
      </c>
      <c r="AQ110" s="119">
        <f t="shared" si="117"/>
        <v>20951231</v>
      </c>
      <c r="AR110" s="119" t="str">
        <f t="shared" si="118"/>
        <v>184.1.1~184.12.31</v>
      </c>
      <c r="AS110" s="120">
        <f t="shared" si="149"/>
      </c>
      <c r="AT110" s="121">
        <f t="shared" si="119"/>
      </c>
      <c r="AU110" s="121">
        <f t="shared" si="150"/>
        <v>1</v>
      </c>
      <c r="AV110" s="119">
        <f t="shared" si="151"/>
      </c>
      <c r="AW110" s="122">
        <f t="shared" si="152"/>
      </c>
      <c r="AX110" s="31">
        <f t="shared" si="153"/>
        <v>0</v>
      </c>
      <c r="AY110" s="7">
        <f t="shared" si="154"/>
        <v>1</v>
      </c>
      <c r="AZ110" s="123">
        <f t="shared" si="155"/>
        <v>1</v>
      </c>
      <c r="BA110" s="123">
        <f t="shared" si="156"/>
        <v>0</v>
      </c>
      <c r="BB110" s="123">
        <f t="shared" si="157"/>
      </c>
      <c r="BC110" s="33"/>
      <c r="BD110" s="33"/>
      <c r="BE110" s="33"/>
      <c r="BF110" s="33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4"/>
      <c r="BT110" s="34"/>
      <c r="BU110" s="34"/>
      <c r="BV110" s="34"/>
      <c r="BW110" s="179">
        <f t="shared" si="158"/>
        <v>23</v>
      </c>
      <c r="BX110" s="7">
        <f t="shared" si="159"/>
        <v>9</v>
      </c>
      <c r="BY110" s="20">
        <f t="shared" si="123"/>
        <v>184</v>
      </c>
      <c r="BZ110" s="2" t="str">
        <f t="shared" si="160"/>
        <v>184.2.5</v>
      </c>
      <c r="CA110" s="181">
        <f t="shared" si="161"/>
        <v>2</v>
      </c>
      <c r="CB110" s="2">
        <f t="shared" si="162"/>
        <v>5</v>
      </c>
      <c r="CC110" s="2" t="str">
        <f t="shared" si="163"/>
        <v>184.9.28</v>
      </c>
      <c r="CD110" s="181">
        <f t="shared" si="201"/>
        <v>9</v>
      </c>
      <c r="CE110" s="2">
        <f t="shared" si="202"/>
        <v>28</v>
      </c>
      <c r="CF110" s="2" t="str">
        <f t="shared" si="164"/>
        <v>生日</v>
      </c>
      <c r="CG110" s="2" t="str">
        <f t="shared" si="165"/>
        <v>184.2.5</v>
      </c>
      <c r="CH110" s="2">
        <f t="shared" si="166"/>
        <v>2</v>
      </c>
      <c r="CI110" s="2" t="str">
        <f t="shared" si="167"/>
        <v>初任</v>
      </c>
      <c r="CJ110" s="2" t="str">
        <f t="shared" si="168"/>
        <v>184.9.28</v>
      </c>
      <c r="CK110" s="2">
        <f t="shared" si="169"/>
        <v>9</v>
      </c>
      <c r="CL110" s="2">
        <f t="shared" si="170"/>
        <v>0</v>
      </c>
      <c r="CM110" s="339">
        <f t="shared" si="171"/>
      </c>
      <c r="CN110" s="2">
        <f t="shared" si="172"/>
      </c>
      <c r="CO110" s="2">
        <f t="shared" si="173"/>
      </c>
      <c r="CP110" s="2">
        <f t="shared" si="174"/>
      </c>
      <c r="CQ110" s="2">
        <f t="shared" si="175"/>
      </c>
      <c r="CR110" s="2">
        <f t="shared" si="124"/>
      </c>
      <c r="CS110" s="128">
        <f t="shared" si="125"/>
      </c>
      <c r="CT110" s="2">
        <f t="shared" si="176"/>
      </c>
      <c r="CU110" s="2">
        <f t="shared" si="177"/>
      </c>
      <c r="CV110" s="128">
        <f t="shared" si="178"/>
      </c>
      <c r="CW110" s="2" t="str">
        <f t="shared" si="179"/>
        <v>184.1.1</v>
      </c>
      <c r="CX110" s="2">
        <f t="shared" si="180"/>
        <v>1</v>
      </c>
      <c r="CY110" s="128" t="str">
        <f t="shared" si="181"/>
        <v>184.2.1。【說明：原實際條件成就時間為184.1.1，惟因必須配合學期而延至當學期結束之次日，始能退休生效，爰推算為184.2.1】</v>
      </c>
      <c r="CZ110" s="2">
        <f t="shared" si="182"/>
      </c>
      <c r="DA110" s="2">
        <f t="shared" si="183"/>
      </c>
      <c r="DB110" s="128">
        <f t="shared" si="184"/>
      </c>
      <c r="DC110" s="2">
        <f t="shared" si="185"/>
      </c>
      <c r="DD110" s="2">
        <f t="shared" si="186"/>
      </c>
      <c r="DE110" s="128">
        <f t="shared" si="187"/>
      </c>
      <c r="DF110" s="2"/>
      <c r="DG110" s="2"/>
      <c r="DH110" s="128"/>
      <c r="DI110" s="2">
        <f t="shared" si="188"/>
      </c>
      <c r="DJ110" s="2">
        <f t="shared" si="189"/>
      </c>
      <c r="DK110" s="128">
        <f t="shared" si="190"/>
      </c>
      <c r="DL110" s="128"/>
      <c r="DM110" s="21" t="str">
        <f t="shared" si="191"/>
        <v>184.2.1。【說明：原實際條件成就時間為184.1.1，惟因必須配合學期而延至當學期結束之次日，始能退休生效，爰推算為184.2.1】</v>
      </c>
      <c r="DN110" s="2" t="str">
        <f t="shared" si="192"/>
        <v>184.1.1</v>
      </c>
      <c r="DO110" s="2"/>
      <c r="DP110" s="2"/>
      <c r="DQ110" s="2"/>
      <c r="DR110" s="2"/>
      <c r="DS110" s="2"/>
      <c r="DT110" s="2"/>
      <c r="DU110" s="2"/>
      <c r="DV110" s="10"/>
      <c r="DW110" s="2">
        <f t="shared" si="193"/>
        <v>184</v>
      </c>
      <c r="DX110" s="2" t="str">
        <f t="shared" si="194"/>
        <v>◆但@*%#...喔麥尬～上開生效日期已逾121年底的過渡期，仍否再適用指標數規定，恐有疑義！</v>
      </c>
      <c r="DY110" s="34"/>
      <c r="DZ110" s="7">
        <f t="shared" si="195"/>
        <v>1</v>
      </c>
      <c r="EA110" s="123">
        <f t="shared" si="196"/>
        <v>0</v>
      </c>
      <c r="EB110" s="211">
        <f t="shared" si="197"/>
      </c>
      <c r="EC110" s="210">
        <f t="shared" si="198"/>
      </c>
      <c r="ED110" s="210" t="e">
        <f t="shared" si="199"/>
        <v>#VALUE!</v>
      </c>
      <c r="EE110" s="34"/>
      <c r="EF110" s="34"/>
      <c r="EG110" s="34"/>
      <c r="EH110" s="34"/>
      <c r="EI110" s="34"/>
      <c r="EJ110" s="34"/>
      <c r="EK110" s="34"/>
      <c r="EL110" s="34"/>
      <c r="EM110" s="34"/>
      <c r="EN110" s="314"/>
      <c r="EO110" s="30"/>
      <c r="EP110" s="315"/>
      <c r="EQ110" s="315"/>
    </row>
    <row r="111" spans="1:147" s="29" customFormat="1" ht="15.75" customHeight="1" hidden="1" thickBot="1" thickTop="1">
      <c r="A111" s="143"/>
      <c r="B111" s="149">
        <f t="shared" si="200"/>
        <v>185</v>
      </c>
      <c r="C111" s="26">
        <f t="shared" si="126"/>
        <v>20961231</v>
      </c>
      <c r="D111" s="26" t="str">
        <f t="shared" si="127"/>
        <v>2096</v>
      </c>
      <c r="E111" s="26" t="str">
        <f t="shared" si="128"/>
        <v>12</v>
      </c>
      <c r="F111" s="26" t="str">
        <f t="shared" si="129"/>
        <v>31</v>
      </c>
      <c r="G111" s="300">
        <f t="shared" si="130"/>
        <v>71955</v>
      </c>
      <c r="H111" s="116">
        <f t="shared" si="122"/>
        <v>95</v>
      </c>
      <c r="I111" s="116">
        <f t="shared" si="131"/>
        <v>4</v>
      </c>
      <c r="J111" s="26">
        <f t="shared" si="132"/>
        <v>30</v>
      </c>
      <c r="K111" s="117">
        <f t="shared" si="133"/>
        <v>97</v>
      </c>
      <c r="L111" s="117">
        <f t="shared" si="134"/>
        <v>3</v>
      </c>
      <c r="M111" s="117">
        <f t="shared" si="135"/>
        <v>8</v>
      </c>
      <c r="N111" s="574" t="str">
        <f t="shared" si="136"/>
        <v>185.1.1~185.12.31</v>
      </c>
      <c r="O111" s="575"/>
      <c r="P111" s="575"/>
      <c r="Q111" s="576"/>
      <c r="R111" s="394">
        <v>60</v>
      </c>
      <c r="S111" s="391">
        <f t="shared" si="137"/>
        <v>127</v>
      </c>
      <c r="T111" s="392">
        <f t="shared" si="138"/>
        <v>97</v>
      </c>
      <c r="U111" s="393">
        <f t="shared" si="139"/>
        <v>224</v>
      </c>
      <c r="V111" s="148">
        <f t="shared" si="140"/>
      </c>
      <c r="W111" s="580">
        <f t="shared" si="120"/>
      </c>
      <c r="X111" s="581"/>
      <c r="Y111" s="581"/>
      <c r="Z111" s="582"/>
      <c r="AA111" s="249">
        <f t="shared" si="141"/>
      </c>
      <c r="AB111" s="248">
        <f t="shared" si="142"/>
      </c>
      <c r="AC111" s="330">
        <f t="shared" si="143"/>
      </c>
      <c r="AD111" s="102"/>
      <c r="AE111" s="118">
        <f t="shared" si="144"/>
        <v>0</v>
      </c>
      <c r="AF111" s="118">
        <f t="shared" si="145"/>
        <v>0</v>
      </c>
      <c r="AG111" s="118">
        <f t="shared" si="121"/>
        <v>1</v>
      </c>
      <c r="AH111" s="118">
        <f>IF(OR(AE111+AF111+AG111&gt;0,SUM($AE$30:AG110)&gt;0),1,0)</f>
        <v>1</v>
      </c>
      <c r="AI111" s="118">
        <f t="shared" si="146"/>
      </c>
      <c r="AJ111" s="118">
        <f t="shared" si="147"/>
      </c>
      <c r="AK111" s="118" t="str">
        <f t="shared" si="148"/>
        <v>符合「年齡滿65歲、年資滿15年」之擇領月退休金條件</v>
      </c>
      <c r="AL111" s="118" t="str">
        <f t="shared" si="112"/>
        <v>符合「年齡滿65歲、年資滿15年」之擇領月退休金條件</v>
      </c>
      <c r="AM111" s="119">
        <f t="shared" si="113"/>
        <v>0</v>
      </c>
      <c r="AN111" s="119">
        <f t="shared" si="114"/>
        <v>1</v>
      </c>
      <c r="AO111" s="119" t="str">
        <f t="shared" si="115"/>
        <v>符合</v>
      </c>
      <c r="AP111" s="119">
        <f t="shared" si="116"/>
        <v>127</v>
      </c>
      <c r="AQ111" s="119">
        <f t="shared" si="117"/>
        <v>20961231</v>
      </c>
      <c r="AR111" s="119" t="str">
        <f t="shared" si="118"/>
        <v>185.1.1~185.12.31</v>
      </c>
      <c r="AS111" s="120">
        <f t="shared" si="149"/>
      </c>
      <c r="AT111" s="121">
        <f t="shared" si="119"/>
      </c>
      <c r="AU111" s="121">
        <f t="shared" si="150"/>
        <v>1</v>
      </c>
      <c r="AV111" s="119">
        <f t="shared" si="151"/>
      </c>
      <c r="AW111" s="122">
        <f t="shared" si="152"/>
      </c>
      <c r="AX111" s="31">
        <f t="shared" si="153"/>
        <v>0</v>
      </c>
      <c r="AY111" s="7">
        <f t="shared" si="154"/>
        <v>1</v>
      </c>
      <c r="AZ111" s="123">
        <f t="shared" si="155"/>
        <v>1</v>
      </c>
      <c r="BA111" s="123">
        <f t="shared" si="156"/>
        <v>0</v>
      </c>
      <c r="BB111" s="123">
        <f t="shared" si="157"/>
      </c>
      <c r="BC111" s="33"/>
      <c r="BD111" s="33"/>
      <c r="BE111" s="33"/>
      <c r="BF111" s="33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4"/>
      <c r="BT111" s="34"/>
      <c r="BU111" s="34"/>
      <c r="BV111" s="34"/>
      <c r="BW111" s="179">
        <f t="shared" si="158"/>
        <v>23</v>
      </c>
      <c r="BX111" s="7">
        <f t="shared" si="159"/>
        <v>9</v>
      </c>
      <c r="BY111" s="20">
        <f t="shared" si="123"/>
        <v>185</v>
      </c>
      <c r="BZ111" s="2" t="str">
        <f t="shared" si="160"/>
        <v>185.2.5</v>
      </c>
      <c r="CA111" s="181">
        <f t="shared" si="161"/>
        <v>2</v>
      </c>
      <c r="CB111" s="2">
        <f t="shared" si="162"/>
        <v>5</v>
      </c>
      <c r="CC111" s="2" t="str">
        <f t="shared" si="163"/>
        <v>185.9.28</v>
      </c>
      <c r="CD111" s="181">
        <f t="shared" si="201"/>
        <v>9</v>
      </c>
      <c r="CE111" s="2">
        <f t="shared" si="202"/>
        <v>28</v>
      </c>
      <c r="CF111" s="2" t="str">
        <f t="shared" si="164"/>
        <v>生日</v>
      </c>
      <c r="CG111" s="2" t="str">
        <f t="shared" si="165"/>
        <v>185.2.5</v>
      </c>
      <c r="CH111" s="2">
        <f t="shared" si="166"/>
        <v>2</v>
      </c>
      <c r="CI111" s="2" t="str">
        <f t="shared" si="167"/>
        <v>初任</v>
      </c>
      <c r="CJ111" s="2" t="str">
        <f t="shared" si="168"/>
        <v>185.9.28</v>
      </c>
      <c r="CK111" s="2">
        <f t="shared" si="169"/>
        <v>9</v>
      </c>
      <c r="CL111" s="2">
        <f t="shared" si="170"/>
        <v>0</v>
      </c>
      <c r="CM111" s="339">
        <f t="shared" si="171"/>
      </c>
      <c r="CN111" s="2">
        <f t="shared" si="172"/>
      </c>
      <c r="CO111" s="2">
        <f t="shared" si="173"/>
      </c>
      <c r="CP111" s="2">
        <f t="shared" si="174"/>
      </c>
      <c r="CQ111" s="2">
        <f t="shared" si="175"/>
      </c>
      <c r="CR111" s="2">
        <f t="shared" si="124"/>
      </c>
      <c r="CS111" s="128">
        <f t="shared" si="125"/>
      </c>
      <c r="CT111" s="2">
        <f t="shared" si="176"/>
      </c>
      <c r="CU111" s="2">
        <f t="shared" si="177"/>
      </c>
      <c r="CV111" s="128">
        <f t="shared" si="178"/>
      </c>
      <c r="CW111" s="2" t="str">
        <f t="shared" si="179"/>
        <v>185.1.1</v>
      </c>
      <c r="CX111" s="2">
        <f t="shared" si="180"/>
        <v>1</v>
      </c>
      <c r="CY111" s="128" t="str">
        <f t="shared" si="181"/>
        <v>185.2.1。【說明：原實際條件成就時間為185.1.1，惟因必須配合學期而延至當學期結束之次日，始能退休生效，爰推算為185.2.1】</v>
      </c>
      <c r="CZ111" s="2">
        <f t="shared" si="182"/>
      </c>
      <c r="DA111" s="2">
        <f t="shared" si="183"/>
      </c>
      <c r="DB111" s="128">
        <f t="shared" si="184"/>
      </c>
      <c r="DC111" s="2">
        <f t="shared" si="185"/>
      </c>
      <c r="DD111" s="2">
        <f t="shared" si="186"/>
      </c>
      <c r="DE111" s="128">
        <f t="shared" si="187"/>
      </c>
      <c r="DF111" s="2"/>
      <c r="DG111" s="2"/>
      <c r="DH111" s="128"/>
      <c r="DI111" s="2">
        <f t="shared" si="188"/>
      </c>
      <c r="DJ111" s="2">
        <f t="shared" si="189"/>
      </c>
      <c r="DK111" s="128">
        <f t="shared" si="190"/>
      </c>
      <c r="DL111" s="128"/>
      <c r="DM111" s="21" t="str">
        <f t="shared" si="191"/>
        <v>185.2.1。【說明：原實際條件成就時間為185.1.1，惟因必須配合學期而延至當學期結束之次日，始能退休生效，爰推算為185.2.1】</v>
      </c>
      <c r="DN111" s="2" t="str">
        <f t="shared" si="192"/>
        <v>185.1.1</v>
      </c>
      <c r="DO111" s="2"/>
      <c r="DP111" s="2"/>
      <c r="DQ111" s="2"/>
      <c r="DR111" s="2"/>
      <c r="DS111" s="2"/>
      <c r="DT111" s="2"/>
      <c r="DU111" s="2"/>
      <c r="DV111" s="10"/>
      <c r="DW111" s="2">
        <f t="shared" si="193"/>
        <v>185</v>
      </c>
      <c r="DX111" s="2" t="str">
        <f t="shared" si="194"/>
        <v>◆但@*%#...喔麥尬～上開生效日期已逾121年底的過渡期，仍否再適用指標數規定，恐有疑義！</v>
      </c>
      <c r="DY111" s="34"/>
      <c r="DZ111" s="7">
        <f t="shared" si="195"/>
        <v>1</v>
      </c>
      <c r="EA111" s="123">
        <f t="shared" si="196"/>
        <v>0</v>
      </c>
      <c r="EB111" s="211">
        <f t="shared" si="197"/>
      </c>
      <c r="EC111" s="210">
        <f t="shared" si="198"/>
      </c>
      <c r="ED111" s="210" t="e">
        <f t="shared" si="199"/>
        <v>#VALUE!</v>
      </c>
      <c r="EE111" s="34"/>
      <c r="EF111" s="34"/>
      <c r="EG111" s="34"/>
      <c r="EH111" s="34"/>
      <c r="EI111" s="34"/>
      <c r="EJ111" s="34"/>
      <c r="EK111" s="34"/>
      <c r="EL111" s="34"/>
      <c r="EM111" s="34"/>
      <c r="EN111" s="314"/>
      <c r="EO111" s="30"/>
      <c r="EP111" s="315"/>
      <c r="EQ111" s="315"/>
    </row>
    <row r="112" spans="1:147" s="29" customFormat="1" ht="15.75" customHeight="1" hidden="1" thickBot="1" thickTop="1">
      <c r="A112" s="143"/>
      <c r="B112" s="149">
        <f t="shared" si="200"/>
        <v>186</v>
      </c>
      <c r="C112" s="26">
        <f t="shared" si="126"/>
        <v>20971231</v>
      </c>
      <c r="D112" s="26" t="str">
        <f t="shared" si="127"/>
        <v>2097</v>
      </c>
      <c r="E112" s="26" t="str">
        <f t="shared" si="128"/>
        <v>12</v>
      </c>
      <c r="F112" s="26" t="str">
        <f t="shared" si="129"/>
        <v>31</v>
      </c>
      <c r="G112" s="300">
        <f t="shared" si="130"/>
        <v>72320</v>
      </c>
      <c r="H112" s="116">
        <f t="shared" si="122"/>
        <v>96</v>
      </c>
      <c r="I112" s="116">
        <f t="shared" si="131"/>
        <v>4</v>
      </c>
      <c r="J112" s="26">
        <f t="shared" si="132"/>
        <v>30</v>
      </c>
      <c r="K112" s="117">
        <f t="shared" si="133"/>
        <v>98</v>
      </c>
      <c r="L112" s="117">
        <f t="shared" si="134"/>
        <v>3</v>
      </c>
      <c r="M112" s="117">
        <f t="shared" si="135"/>
        <v>8</v>
      </c>
      <c r="N112" s="574" t="str">
        <f t="shared" si="136"/>
        <v>186.1.1~186.12.31</v>
      </c>
      <c r="O112" s="575"/>
      <c r="P112" s="575"/>
      <c r="Q112" s="576"/>
      <c r="R112" s="394">
        <v>60</v>
      </c>
      <c r="S112" s="391">
        <f t="shared" si="137"/>
        <v>128</v>
      </c>
      <c r="T112" s="392">
        <f t="shared" si="138"/>
        <v>98</v>
      </c>
      <c r="U112" s="393">
        <f t="shared" si="139"/>
        <v>226</v>
      </c>
      <c r="V112" s="148">
        <f t="shared" si="140"/>
      </c>
      <c r="W112" s="580">
        <f t="shared" si="120"/>
      </c>
      <c r="X112" s="581"/>
      <c r="Y112" s="581"/>
      <c r="Z112" s="582"/>
      <c r="AA112" s="249">
        <f t="shared" si="141"/>
      </c>
      <c r="AB112" s="248">
        <f t="shared" si="142"/>
      </c>
      <c r="AC112" s="330">
        <f t="shared" si="143"/>
      </c>
      <c r="AD112" s="102"/>
      <c r="AE112" s="118">
        <f t="shared" si="144"/>
        <v>0</v>
      </c>
      <c r="AF112" s="118">
        <f t="shared" si="145"/>
        <v>0</v>
      </c>
      <c r="AG112" s="118">
        <f t="shared" si="121"/>
        <v>1</v>
      </c>
      <c r="AH112" s="118">
        <f>IF(OR(AE112+AF112+AG112&gt;0,SUM($AE$30:AG111)&gt;0),1,0)</f>
        <v>1</v>
      </c>
      <c r="AI112" s="118">
        <f t="shared" si="146"/>
      </c>
      <c r="AJ112" s="118">
        <f t="shared" si="147"/>
      </c>
      <c r="AK112" s="118" t="str">
        <f t="shared" si="148"/>
        <v>符合「年齡滿65歲、年資滿15年」之擇領月退休金條件</v>
      </c>
      <c r="AL112" s="118" t="str">
        <f t="shared" si="112"/>
        <v>符合「年齡滿65歲、年資滿15年」之擇領月退休金條件</v>
      </c>
      <c r="AM112" s="119">
        <f t="shared" si="113"/>
        <v>0</v>
      </c>
      <c r="AN112" s="119">
        <f t="shared" si="114"/>
        <v>1</v>
      </c>
      <c r="AO112" s="119" t="str">
        <f t="shared" si="115"/>
        <v>符合</v>
      </c>
      <c r="AP112" s="119">
        <f t="shared" si="116"/>
        <v>128</v>
      </c>
      <c r="AQ112" s="119">
        <f t="shared" si="117"/>
        <v>20971231</v>
      </c>
      <c r="AR112" s="119" t="str">
        <f t="shared" si="118"/>
        <v>186.1.1~186.12.31</v>
      </c>
      <c r="AS112" s="120">
        <f t="shared" si="149"/>
      </c>
      <c r="AT112" s="121">
        <f t="shared" si="119"/>
      </c>
      <c r="AU112" s="121">
        <f t="shared" si="150"/>
        <v>1</v>
      </c>
      <c r="AV112" s="119">
        <f t="shared" si="151"/>
      </c>
      <c r="AW112" s="122">
        <f t="shared" si="152"/>
      </c>
      <c r="AX112" s="31">
        <f t="shared" si="153"/>
        <v>0</v>
      </c>
      <c r="AY112" s="7">
        <f t="shared" si="154"/>
        <v>1</v>
      </c>
      <c r="AZ112" s="123">
        <f t="shared" si="155"/>
        <v>1</v>
      </c>
      <c r="BA112" s="123">
        <f t="shared" si="156"/>
        <v>0</v>
      </c>
      <c r="BB112" s="123">
        <f t="shared" si="157"/>
      </c>
      <c r="BC112" s="33"/>
      <c r="BD112" s="33"/>
      <c r="BE112" s="33"/>
      <c r="BF112" s="33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4"/>
      <c r="BT112" s="34"/>
      <c r="BU112" s="34"/>
      <c r="BV112" s="34"/>
      <c r="BW112" s="179">
        <f t="shared" si="158"/>
        <v>23</v>
      </c>
      <c r="BX112" s="7">
        <f t="shared" si="159"/>
        <v>9</v>
      </c>
      <c r="BY112" s="20">
        <f t="shared" si="123"/>
        <v>186</v>
      </c>
      <c r="BZ112" s="2" t="str">
        <f t="shared" si="160"/>
        <v>186.2.5</v>
      </c>
      <c r="CA112" s="181">
        <f t="shared" si="161"/>
        <v>2</v>
      </c>
      <c r="CB112" s="2">
        <f t="shared" si="162"/>
        <v>5</v>
      </c>
      <c r="CC112" s="2" t="str">
        <f t="shared" si="163"/>
        <v>186.9.28</v>
      </c>
      <c r="CD112" s="181">
        <f t="shared" si="201"/>
        <v>9</v>
      </c>
      <c r="CE112" s="2">
        <f t="shared" si="202"/>
        <v>28</v>
      </c>
      <c r="CF112" s="2" t="str">
        <f t="shared" si="164"/>
        <v>生日</v>
      </c>
      <c r="CG112" s="2" t="str">
        <f t="shared" si="165"/>
        <v>186.2.5</v>
      </c>
      <c r="CH112" s="2">
        <f t="shared" si="166"/>
        <v>2</v>
      </c>
      <c r="CI112" s="2" t="str">
        <f t="shared" si="167"/>
        <v>初任</v>
      </c>
      <c r="CJ112" s="2" t="str">
        <f t="shared" si="168"/>
        <v>186.9.28</v>
      </c>
      <c r="CK112" s="2">
        <f t="shared" si="169"/>
        <v>9</v>
      </c>
      <c r="CL112" s="2">
        <f t="shared" si="170"/>
        <v>0</v>
      </c>
      <c r="CM112" s="339">
        <f t="shared" si="171"/>
      </c>
      <c r="CN112" s="2">
        <f t="shared" si="172"/>
      </c>
      <c r="CO112" s="2">
        <f t="shared" si="173"/>
      </c>
      <c r="CP112" s="2">
        <f t="shared" si="174"/>
      </c>
      <c r="CQ112" s="2">
        <f t="shared" si="175"/>
      </c>
      <c r="CR112" s="2">
        <f t="shared" si="124"/>
      </c>
      <c r="CS112" s="128">
        <f t="shared" si="125"/>
      </c>
      <c r="CT112" s="2">
        <f t="shared" si="176"/>
      </c>
      <c r="CU112" s="2">
        <f t="shared" si="177"/>
      </c>
      <c r="CV112" s="128">
        <f t="shared" si="178"/>
      </c>
      <c r="CW112" s="2" t="str">
        <f t="shared" si="179"/>
        <v>186.1.1</v>
      </c>
      <c r="CX112" s="2">
        <f t="shared" si="180"/>
        <v>1</v>
      </c>
      <c r="CY112" s="128" t="str">
        <f t="shared" si="181"/>
        <v>186.2.1。【說明：原實際條件成就時間為186.1.1，惟因必須配合學期而延至當學期結束之次日，始能退休生效，爰推算為186.2.1】</v>
      </c>
      <c r="CZ112" s="2">
        <f t="shared" si="182"/>
      </c>
      <c r="DA112" s="2">
        <f t="shared" si="183"/>
      </c>
      <c r="DB112" s="128">
        <f t="shared" si="184"/>
      </c>
      <c r="DC112" s="2">
        <f t="shared" si="185"/>
      </c>
      <c r="DD112" s="2">
        <f t="shared" si="186"/>
      </c>
      <c r="DE112" s="128">
        <f t="shared" si="187"/>
      </c>
      <c r="DF112" s="2"/>
      <c r="DG112" s="2"/>
      <c r="DH112" s="128"/>
      <c r="DI112" s="2">
        <f t="shared" si="188"/>
      </c>
      <c r="DJ112" s="2">
        <f t="shared" si="189"/>
      </c>
      <c r="DK112" s="128">
        <f t="shared" si="190"/>
      </c>
      <c r="DL112" s="128"/>
      <c r="DM112" s="21" t="str">
        <f t="shared" si="191"/>
        <v>186.2.1。【說明：原實際條件成就時間為186.1.1，惟因必須配合學期而延至當學期結束之次日，始能退休生效，爰推算為186.2.1】</v>
      </c>
      <c r="DN112" s="2" t="str">
        <f t="shared" si="192"/>
        <v>186.1.1</v>
      </c>
      <c r="DO112" s="2"/>
      <c r="DP112" s="2"/>
      <c r="DQ112" s="2"/>
      <c r="DR112" s="2"/>
      <c r="DS112" s="2"/>
      <c r="DT112" s="2"/>
      <c r="DU112" s="2"/>
      <c r="DV112" s="10"/>
      <c r="DW112" s="2">
        <f t="shared" si="193"/>
        <v>186</v>
      </c>
      <c r="DX112" s="2" t="str">
        <f t="shared" si="194"/>
        <v>◆但@*%#...喔麥尬～上開生效日期已逾121年底的過渡期，仍否再適用指標數規定，恐有疑義！</v>
      </c>
      <c r="DY112" s="34"/>
      <c r="DZ112" s="7">
        <f t="shared" si="195"/>
        <v>1</v>
      </c>
      <c r="EA112" s="123">
        <f t="shared" si="196"/>
        <v>0</v>
      </c>
      <c r="EB112" s="211">
        <f t="shared" si="197"/>
      </c>
      <c r="EC112" s="210">
        <f t="shared" si="198"/>
      </c>
      <c r="ED112" s="210" t="e">
        <f t="shared" si="199"/>
        <v>#VALUE!</v>
      </c>
      <c r="EE112" s="34"/>
      <c r="EF112" s="34"/>
      <c r="EG112" s="34"/>
      <c r="EH112" s="34"/>
      <c r="EI112" s="34"/>
      <c r="EJ112" s="34"/>
      <c r="EK112" s="34"/>
      <c r="EL112" s="34"/>
      <c r="EM112" s="34"/>
      <c r="EN112" s="314"/>
      <c r="EO112" s="30"/>
      <c r="EP112" s="315"/>
      <c r="EQ112" s="315"/>
    </row>
    <row r="113" spans="1:147" s="29" customFormat="1" ht="15.75" customHeight="1" hidden="1" thickBot="1" thickTop="1">
      <c r="A113" s="143"/>
      <c r="B113" s="149">
        <f t="shared" si="200"/>
        <v>187</v>
      </c>
      <c r="C113" s="26">
        <f t="shared" si="126"/>
        <v>20981231</v>
      </c>
      <c r="D113" s="26" t="str">
        <f t="shared" si="127"/>
        <v>2098</v>
      </c>
      <c r="E113" s="26" t="str">
        <f t="shared" si="128"/>
        <v>12</v>
      </c>
      <c r="F113" s="26" t="str">
        <f t="shared" si="129"/>
        <v>31</v>
      </c>
      <c r="G113" s="300">
        <f t="shared" si="130"/>
        <v>72685</v>
      </c>
      <c r="H113" s="116">
        <f t="shared" si="122"/>
        <v>97</v>
      </c>
      <c r="I113" s="116">
        <f t="shared" si="131"/>
        <v>4</v>
      </c>
      <c r="J113" s="26">
        <f t="shared" si="132"/>
        <v>30</v>
      </c>
      <c r="K113" s="117">
        <f t="shared" si="133"/>
        <v>99</v>
      </c>
      <c r="L113" s="117">
        <f t="shared" si="134"/>
        <v>3</v>
      </c>
      <c r="M113" s="117">
        <f t="shared" si="135"/>
        <v>8</v>
      </c>
      <c r="N113" s="577" t="str">
        <f t="shared" si="136"/>
        <v>187.1.1~187.12.31</v>
      </c>
      <c r="O113" s="578"/>
      <c r="P113" s="578"/>
      <c r="Q113" s="579"/>
      <c r="R113" s="395">
        <v>60</v>
      </c>
      <c r="S113" s="396">
        <f t="shared" si="137"/>
        <v>129</v>
      </c>
      <c r="T113" s="397">
        <f t="shared" si="138"/>
        <v>99</v>
      </c>
      <c r="U113" s="398">
        <f t="shared" si="139"/>
        <v>228</v>
      </c>
      <c r="V113" s="148">
        <f t="shared" si="140"/>
      </c>
      <c r="W113" s="580">
        <f t="shared" si="120"/>
      </c>
      <c r="X113" s="581"/>
      <c r="Y113" s="581"/>
      <c r="Z113" s="582"/>
      <c r="AA113" s="250">
        <f t="shared" si="141"/>
      </c>
      <c r="AB113" s="248">
        <f t="shared" si="142"/>
      </c>
      <c r="AC113" s="331">
        <f t="shared" si="143"/>
      </c>
      <c r="AD113" s="102"/>
      <c r="AE113" s="118">
        <f t="shared" si="144"/>
        <v>0</v>
      </c>
      <c r="AF113" s="118">
        <f t="shared" si="145"/>
        <v>0</v>
      </c>
      <c r="AG113" s="118">
        <f t="shared" si="121"/>
        <v>1</v>
      </c>
      <c r="AH113" s="118">
        <f>IF(OR(AE113+AF113+AG113&gt;0,SUM($AE$30:AG112)&gt;0),1,0)</f>
        <v>1</v>
      </c>
      <c r="AI113" s="118">
        <f t="shared" si="146"/>
      </c>
      <c r="AJ113" s="118">
        <f t="shared" si="147"/>
      </c>
      <c r="AK113" s="118" t="str">
        <f t="shared" si="148"/>
        <v>符合「年齡滿65歲、年資滿15年」之擇領月退休金條件</v>
      </c>
      <c r="AL113" s="118" t="str">
        <f t="shared" si="112"/>
        <v>符合「年齡滿65歲、年資滿15年」之擇領月退休金條件</v>
      </c>
      <c r="AM113" s="119">
        <f t="shared" si="113"/>
        <v>0</v>
      </c>
      <c r="AN113" s="119">
        <f t="shared" si="114"/>
        <v>1</v>
      </c>
      <c r="AO113" s="119" t="str">
        <f t="shared" si="115"/>
        <v>符合</v>
      </c>
      <c r="AP113" s="119">
        <f t="shared" si="116"/>
        <v>129</v>
      </c>
      <c r="AQ113" s="119">
        <f t="shared" si="117"/>
        <v>20981231</v>
      </c>
      <c r="AR113" s="119" t="str">
        <f t="shared" si="118"/>
        <v>187.1.1~187.12.31</v>
      </c>
      <c r="AS113" s="120">
        <f t="shared" si="149"/>
      </c>
      <c r="AT113" s="121">
        <f t="shared" si="119"/>
      </c>
      <c r="AU113" s="121">
        <f t="shared" si="150"/>
        <v>1</v>
      </c>
      <c r="AV113" s="119">
        <f t="shared" si="151"/>
      </c>
      <c r="AW113" s="122">
        <f t="shared" si="152"/>
      </c>
      <c r="AX113" s="31">
        <f t="shared" si="153"/>
        <v>0</v>
      </c>
      <c r="AY113" s="7">
        <f t="shared" si="154"/>
        <v>1</v>
      </c>
      <c r="AZ113" s="123">
        <f t="shared" si="155"/>
        <v>1</v>
      </c>
      <c r="BA113" s="123">
        <f t="shared" si="156"/>
        <v>0</v>
      </c>
      <c r="BB113" s="123">
        <f t="shared" si="157"/>
      </c>
      <c r="BC113" s="33"/>
      <c r="BD113" s="33"/>
      <c r="BE113" s="33"/>
      <c r="BF113" s="33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4"/>
      <c r="BT113" s="34"/>
      <c r="BU113" s="34"/>
      <c r="BV113" s="34"/>
      <c r="BW113" s="179">
        <f t="shared" si="158"/>
        <v>23</v>
      </c>
      <c r="BX113" s="7">
        <f t="shared" si="159"/>
        <v>9</v>
      </c>
      <c r="BY113" s="20">
        <f t="shared" si="123"/>
        <v>187</v>
      </c>
      <c r="BZ113" s="2" t="str">
        <f t="shared" si="160"/>
        <v>187.2.5</v>
      </c>
      <c r="CA113" s="181">
        <f t="shared" si="161"/>
        <v>2</v>
      </c>
      <c r="CB113" s="2">
        <f t="shared" si="162"/>
        <v>5</v>
      </c>
      <c r="CC113" s="2" t="str">
        <f t="shared" si="163"/>
        <v>187.9.28</v>
      </c>
      <c r="CD113" s="181">
        <f t="shared" si="201"/>
        <v>9</v>
      </c>
      <c r="CE113" s="2">
        <f t="shared" si="202"/>
        <v>28</v>
      </c>
      <c r="CF113" s="2" t="str">
        <f t="shared" si="164"/>
        <v>生日</v>
      </c>
      <c r="CG113" s="2" t="str">
        <f t="shared" si="165"/>
        <v>187.2.5</v>
      </c>
      <c r="CH113" s="2">
        <f t="shared" si="166"/>
        <v>2</v>
      </c>
      <c r="CI113" s="2" t="str">
        <f t="shared" si="167"/>
        <v>初任</v>
      </c>
      <c r="CJ113" s="2" t="str">
        <f t="shared" si="168"/>
        <v>187.9.28</v>
      </c>
      <c r="CK113" s="2">
        <f t="shared" si="169"/>
        <v>9</v>
      </c>
      <c r="CL113" s="2">
        <f t="shared" si="170"/>
        <v>0</v>
      </c>
      <c r="CM113" s="339">
        <f t="shared" si="171"/>
      </c>
      <c r="CN113" s="2">
        <f t="shared" si="172"/>
      </c>
      <c r="CO113" s="2">
        <f t="shared" si="173"/>
      </c>
      <c r="CP113" s="2">
        <f t="shared" si="174"/>
      </c>
      <c r="CQ113" s="2">
        <f t="shared" si="175"/>
      </c>
      <c r="CR113" s="2">
        <f t="shared" si="124"/>
      </c>
      <c r="CS113" s="128">
        <f t="shared" si="125"/>
      </c>
      <c r="CT113" s="2">
        <f t="shared" si="176"/>
      </c>
      <c r="CU113" s="2">
        <f t="shared" si="177"/>
      </c>
      <c r="CV113" s="128">
        <f t="shared" si="178"/>
      </c>
      <c r="CW113" s="2" t="str">
        <f t="shared" si="179"/>
        <v>187.1.1</v>
      </c>
      <c r="CX113" s="2">
        <f t="shared" si="180"/>
        <v>1</v>
      </c>
      <c r="CY113" s="128" t="str">
        <f t="shared" si="181"/>
        <v>187.2.1。【說明：原實際條件成就時間為187.1.1，惟因必須配合學期而延至當學期結束之次日，始能退休生效，爰推算為187.2.1】</v>
      </c>
      <c r="CZ113" s="2">
        <f t="shared" si="182"/>
      </c>
      <c r="DA113" s="2">
        <f t="shared" si="183"/>
      </c>
      <c r="DB113" s="128">
        <f t="shared" si="184"/>
      </c>
      <c r="DC113" s="2">
        <f t="shared" si="185"/>
      </c>
      <c r="DD113" s="2">
        <f t="shared" si="186"/>
      </c>
      <c r="DE113" s="128">
        <f t="shared" si="187"/>
      </c>
      <c r="DF113" s="2"/>
      <c r="DG113" s="2"/>
      <c r="DH113" s="128"/>
      <c r="DI113" s="2">
        <f t="shared" si="188"/>
      </c>
      <c r="DJ113" s="2">
        <f t="shared" si="189"/>
      </c>
      <c r="DK113" s="128">
        <f t="shared" si="190"/>
      </c>
      <c r="DL113" s="128"/>
      <c r="DM113" s="21" t="str">
        <f t="shared" si="191"/>
        <v>187.2.1。【說明：原實際條件成就時間為187.1.1，惟因必須配合學期而延至當學期結束之次日，始能退休生效，爰推算為187.2.1】</v>
      </c>
      <c r="DN113" s="2" t="str">
        <f t="shared" si="192"/>
        <v>187.1.1</v>
      </c>
      <c r="DO113" s="2"/>
      <c r="DP113" s="2"/>
      <c r="DQ113" s="2"/>
      <c r="DR113" s="2"/>
      <c r="DS113" s="2"/>
      <c r="DT113" s="2"/>
      <c r="DU113" s="2"/>
      <c r="DV113" s="10"/>
      <c r="DW113" s="2">
        <f t="shared" si="193"/>
        <v>187</v>
      </c>
      <c r="DX113" s="2" t="str">
        <f t="shared" si="194"/>
        <v>◆但@*%#...喔麥尬～上開生效日期已逾121年底的過渡期，仍否再適用指標數規定，恐有疑義！</v>
      </c>
      <c r="DY113" s="34"/>
      <c r="DZ113" s="7">
        <f t="shared" si="195"/>
        <v>1</v>
      </c>
      <c r="EA113" s="123">
        <f t="shared" si="196"/>
        <v>0</v>
      </c>
      <c r="EB113" s="211">
        <f t="shared" si="197"/>
      </c>
      <c r="EC113" s="210">
        <f t="shared" si="198"/>
      </c>
      <c r="ED113" s="210" t="e">
        <f t="shared" si="199"/>
        <v>#VALUE!</v>
      </c>
      <c r="EE113" s="34"/>
      <c r="EF113" s="34"/>
      <c r="EG113" s="34"/>
      <c r="EH113" s="34"/>
      <c r="EI113" s="34"/>
      <c r="EJ113" s="34"/>
      <c r="EK113" s="34"/>
      <c r="EL113" s="34"/>
      <c r="EM113" s="34"/>
      <c r="EN113" s="314"/>
      <c r="EO113" s="30"/>
      <c r="EP113" s="315"/>
      <c r="EQ113" s="315"/>
    </row>
    <row r="114" spans="1:147" s="29" customFormat="1" ht="6" customHeight="1" thickTop="1">
      <c r="A114" s="143"/>
      <c r="B114" s="156"/>
      <c r="C114" s="151"/>
      <c r="D114" s="151"/>
      <c r="E114" s="151"/>
      <c r="F114" s="151"/>
      <c r="G114" s="151"/>
      <c r="H114" s="152"/>
      <c r="I114" s="152"/>
      <c r="J114" s="151"/>
      <c r="K114" s="153"/>
      <c r="L114" s="153"/>
      <c r="M114" s="153"/>
      <c r="N114" s="155" t="s">
        <v>73</v>
      </c>
      <c r="O114" s="155" t="s">
        <v>73</v>
      </c>
      <c r="P114" s="155" t="s">
        <v>73</v>
      </c>
      <c r="Q114" s="155" t="s">
        <v>73</v>
      </c>
      <c r="R114" s="155" t="s">
        <v>73</v>
      </c>
      <c r="S114" s="154"/>
      <c r="T114" s="154"/>
      <c r="U114" s="154"/>
      <c r="V114" s="154"/>
      <c r="W114" s="154"/>
      <c r="X114" s="154"/>
      <c r="Y114" s="154"/>
      <c r="Z114" s="154"/>
      <c r="AA114" s="154"/>
      <c r="AB114" s="341"/>
      <c r="AC114" s="342"/>
      <c r="AD114" s="38"/>
      <c r="AE114" s="26"/>
      <c r="AF114" s="26"/>
      <c r="AG114" s="26"/>
      <c r="AH114" s="26"/>
      <c r="AI114" s="26"/>
      <c r="AJ114" s="27"/>
      <c r="AK114" s="27"/>
      <c r="AL114" s="28"/>
      <c r="AM114" s="28"/>
      <c r="AN114" s="28"/>
      <c r="AO114" s="28"/>
      <c r="AP114" s="131"/>
      <c r="AQ114" s="131"/>
      <c r="AR114" s="131"/>
      <c r="AS114" s="28"/>
      <c r="AT114" s="28"/>
      <c r="AW114" s="28"/>
      <c r="AX114" s="103"/>
      <c r="BA114" s="32"/>
      <c r="BB114" s="32"/>
      <c r="BC114" s="33"/>
      <c r="BD114" s="58"/>
      <c r="BE114" s="59"/>
      <c r="BF114" s="59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7"/>
      <c r="BX114" s="7"/>
      <c r="BY114" s="20"/>
      <c r="BZ114" s="2"/>
      <c r="CA114" s="181"/>
      <c r="CB114" s="2"/>
      <c r="CC114" s="2"/>
      <c r="CD114" s="181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>
        <f t="shared" si="175"/>
      </c>
      <c r="CR114" s="2">
        <f t="shared" si="124"/>
      </c>
      <c r="CS114" s="128"/>
      <c r="CT114" s="2"/>
      <c r="CU114" s="2"/>
      <c r="CV114" s="128"/>
      <c r="CW114" s="2"/>
      <c r="CX114" s="2"/>
      <c r="CY114" s="128"/>
      <c r="CZ114" s="2">
        <f t="shared" si="182"/>
      </c>
      <c r="DA114" s="2">
        <f t="shared" si="183"/>
      </c>
      <c r="DB114" s="128">
        <f t="shared" si="184"/>
      </c>
      <c r="DC114" s="2">
        <f t="shared" si="185"/>
      </c>
      <c r="DD114" s="2">
        <f t="shared" si="186"/>
      </c>
      <c r="DE114" s="128">
        <f t="shared" si="187"/>
      </c>
      <c r="DF114" s="2"/>
      <c r="DG114" s="2"/>
      <c r="DH114" s="128"/>
      <c r="DI114" s="2">
        <f t="shared" si="188"/>
      </c>
      <c r="DJ114" s="2">
        <f t="shared" si="189"/>
      </c>
      <c r="DK114" s="128">
        <f aca="true" t="shared" si="203" ref="DK114:DK167">IF(DI114="","",IF(RIGHT(DJ114,4)=".8.1",BY114&amp;".8.1",IF(RIGHT(DJ114,4)=".2.1",BY114&amp;".2.1",IF(DI114=1,BY114&amp;".2.1。【說明：原實際條件成就時間為"&amp;DJ114&amp;"，惟因必須配合學期而延至當學期結束之次日，始能退休生效，爰推算為"&amp;BY114&amp;".2.1】",IF(AND(DI114&lt;=7,DI114&gt;1),BY114&amp;".8.1。【說明：原實際條件成就時間為"&amp;DJ114&amp;"，惟因必須配合學期而延至當學年度結束之次日，始能退休生效，爰推算為"&amp;BY114&amp;".8.1】",BY114+1&amp;".2.1。【說明：原實際條件成就時間為"&amp;DJ114&amp;"，惟因必須配合學期而延至當學期結束之次日，始能退休生效，爰推算為"&amp;BY114+1&amp;".2.1】")))))</f>
      </c>
      <c r="DL114" s="128"/>
      <c r="DM114" s="21"/>
      <c r="DN114" s="2"/>
      <c r="DO114" s="2"/>
      <c r="DP114" s="2"/>
      <c r="DQ114" s="2"/>
      <c r="DR114" s="2"/>
      <c r="DS114" s="2"/>
      <c r="DT114" s="2"/>
      <c r="DU114" s="2"/>
      <c r="DV114" s="10"/>
      <c r="DW114" s="2"/>
      <c r="DX114" s="2"/>
      <c r="DY114" s="34"/>
      <c r="DZ114" s="34"/>
      <c r="EA114" s="34"/>
      <c r="EB114" s="210"/>
      <c r="EC114" s="210"/>
      <c r="ED114" s="210"/>
      <c r="EE114" s="34"/>
      <c r="EF114" s="34"/>
      <c r="EG114" s="34"/>
      <c r="EH114" s="34"/>
      <c r="EI114" s="34"/>
      <c r="EJ114" s="34"/>
      <c r="EK114" s="34"/>
      <c r="EL114" s="34"/>
      <c r="EM114" s="34"/>
      <c r="EN114" s="314"/>
      <c r="EO114" s="30"/>
      <c r="EP114" s="315"/>
      <c r="EQ114" s="315"/>
    </row>
    <row r="115" spans="1:147" s="136" customFormat="1" ht="16.5">
      <c r="A115" s="143"/>
      <c r="B115" s="58"/>
      <c r="C115" s="58"/>
      <c r="D115" s="32"/>
      <c r="E115" s="32"/>
      <c r="F115" s="32"/>
      <c r="G115" s="58"/>
      <c r="H115" s="144"/>
      <c r="I115" s="144"/>
      <c r="J115" s="58"/>
      <c r="K115" s="146"/>
      <c r="L115" s="146"/>
      <c r="M115" s="146"/>
      <c r="N115" s="538"/>
      <c r="O115" s="538"/>
      <c r="P115" s="538"/>
      <c r="Q115" s="538"/>
      <c r="R115" s="147"/>
      <c r="S115" s="145"/>
      <c r="T115" s="145"/>
      <c r="U115" s="145"/>
      <c r="V115" s="58"/>
      <c r="W115" s="33"/>
      <c r="X115" s="58"/>
      <c r="Y115" s="58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1"/>
      <c r="AK115" s="31"/>
      <c r="AL115" s="30"/>
      <c r="AM115" s="30"/>
      <c r="AN115" s="30"/>
      <c r="AO115" s="30"/>
      <c r="AP115" s="31"/>
      <c r="AQ115" s="31"/>
      <c r="AR115" s="31"/>
      <c r="AS115" s="30"/>
      <c r="AT115" s="30"/>
      <c r="AU115" s="34"/>
      <c r="AV115" s="34"/>
      <c r="AW115" s="30"/>
      <c r="AX115" s="31"/>
      <c r="AY115" s="31"/>
      <c r="AZ115" s="31"/>
      <c r="BA115" s="31"/>
      <c r="BB115" s="31"/>
      <c r="BC115" s="30"/>
      <c r="BD115" s="31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7"/>
      <c r="BX115" s="7"/>
      <c r="BY115" s="20"/>
      <c r="BZ115" s="2"/>
      <c r="CA115" s="181"/>
      <c r="CB115" s="2"/>
      <c r="CC115" s="2"/>
      <c r="CD115" s="181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>
        <f t="shared" si="175"/>
      </c>
      <c r="CR115" s="2">
        <f t="shared" si="124"/>
      </c>
      <c r="CS115" s="128"/>
      <c r="CT115" s="2"/>
      <c r="CU115" s="2"/>
      <c r="CV115" s="128"/>
      <c r="CW115" s="2"/>
      <c r="CX115" s="2"/>
      <c r="CY115" s="128"/>
      <c r="CZ115" s="2">
        <f t="shared" si="182"/>
      </c>
      <c r="DA115" s="2">
        <f t="shared" si="183"/>
      </c>
      <c r="DB115" s="128">
        <f t="shared" si="184"/>
      </c>
      <c r="DC115" s="2">
        <f t="shared" si="185"/>
      </c>
      <c r="DD115" s="2">
        <f t="shared" si="186"/>
      </c>
      <c r="DE115" s="128">
        <f t="shared" si="187"/>
      </c>
      <c r="DF115" s="2"/>
      <c r="DG115" s="2"/>
      <c r="DH115" s="128"/>
      <c r="DI115" s="2">
        <f t="shared" si="188"/>
      </c>
      <c r="DJ115" s="2">
        <f t="shared" si="189"/>
      </c>
      <c r="DK115" s="128">
        <f t="shared" si="203"/>
      </c>
      <c r="DL115" s="128"/>
      <c r="DM115" s="21"/>
      <c r="DN115" s="2"/>
      <c r="DO115" s="2"/>
      <c r="DP115" s="2"/>
      <c r="DQ115" s="2"/>
      <c r="DR115" s="2"/>
      <c r="DS115" s="2"/>
      <c r="DT115" s="2"/>
      <c r="DU115" s="2"/>
      <c r="DV115" s="10"/>
      <c r="DW115" s="2"/>
      <c r="DX115" s="2"/>
      <c r="DY115" s="34"/>
      <c r="DZ115" s="34"/>
      <c r="EA115" s="34"/>
      <c r="EB115" s="210"/>
      <c r="EC115" s="210"/>
      <c r="ED115" s="210"/>
      <c r="EE115" s="34"/>
      <c r="EF115" s="34"/>
      <c r="EG115" s="34"/>
      <c r="EH115" s="34"/>
      <c r="EI115" s="34"/>
      <c r="EJ115" s="34"/>
      <c r="EK115" s="34"/>
      <c r="EL115" s="34"/>
      <c r="EM115" s="34"/>
      <c r="EN115" s="314"/>
      <c r="EO115" s="30"/>
      <c r="EP115" s="318"/>
      <c r="EQ115" s="318"/>
    </row>
    <row r="116" spans="1:147" s="136" customFormat="1" ht="16.5">
      <c r="A116" s="34"/>
      <c r="B116" s="58"/>
      <c r="C116" s="58"/>
      <c r="D116" s="32"/>
      <c r="E116" s="32"/>
      <c r="F116" s="32"/>
      <c r="G116" s="58"/>
      <c r="H116" s="144"/>
      <c r="I116" s="144"/>
      <c r="J116" s="58"/>
      <c r="K116" s="146"/>
      <c r="L116" s="146"/>
      <c r="M116" s="146"/>
      <c r="N116" s="538"/>
      <c r="O116" s="538"/>
      <c r="P116" s="538"/>
      <c r="Q116" s="538"/>
      <c r="R116" s="147"/>
      <c r="S116" s="145"/>
      <c r="T116" s="145"/>
      <c r="U116" s="145"/>
      <c r="V116" s="58"/>
      <c r="W116" s="33"/>
      <c r="X116" s="58"/>
      <c r="Y116" s="58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1"/>
      <c r="AK116" s="31"/>
      <c r="AL116" s="30"/>
      <c r="AM116" s="30"/>
      <c r="AN116" s="30"/>
      <c r="AO116" s="30"/>
      <c r="AP116" s="31"/>
      <c r="AQ116" s="31"/>
      <c r="AR116" s="31"/>
      <c r="AS116" s="30"/>
      <c r="AT116" s="30"/>
      <c r="AU116" s="34"/>
      <c r="AV116" s="34"/>
      <c r="AW116" s="30"/>
      <c r="AX116" s="31"/>
      <c r="AY116" s="31"/>
      <c r="AZ116" s="31"/>
      <c r="BA116" s="31"/>
      <c r="BB116" s="31"/>
      <c r="BC116" s="30"/>
      <c r="BD116" s="31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7"/>
      <c r="BX116" s="7"/>
      <c r="BY116" s="20"/>
      <c r="BZ116" s="2"/>
      <c r="CA116" s="181"/>
      <c r="CB116" s="2"/>
      <c r="CC116" s="2"/>
      <c r="CD116" s="181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>
        <f t="shared" si="175"/>
      </c>
      <c r="CR116" s="2">
        <f t="shared" si="124"/>
      </c>
      <c r="CS116" s="128"/>
      <c r="CT116" s="2"/>
      <c r="CU116" s="2"/>
      <c r="CV116" s="128"/>
      <c r="CW116" s="2"/>
      <c r="CX116" s="2"/>
      <c r="CY116" s="128"/>
      <c r="CZ116" s="2">
        <f t="shared" si="182"/>
      </c>
      <c r="DA116" s="2">
        <f t="shared" si="183"/>
      </c>
      <c r="DB116" s="128">
        <f t="shared" si="184"/>
      </c>
      <c r="DC116" s="2">
        <f t="shared" si="185"/>
      </c>
      <c r="DD116" s="2">
        <f t="shared" si="186"/>
      </c>
      <c r="DE116" s="128">
        <f t="shared" si="187"/>
      </c>
      <c r="DF116" s="2"/>
      <c r="DG116" s="2"/>
      <c r="DH116" s="128"/>
      <c r="DI116" s="2">
        <f t="shared" si="188"/>
      </c>
      <c r="DJ116" s="2">
        <f t="shared" si="189"/>
      </c>
      <c r="DK116" s="128">
        <f t="shared" si="203"/>
      </c>
      <c r="DL116" s="128"/>
      <c r="DM116" s="21"/>
      <c r="DN116" s="2"/>
      <c r="DO116" s="2"/>
      <c r="DP116" s="2"/>
      <c r="DQ116" s="2"/>
      <c r="DR116" s="2"/>
      <c r="DS116" s="2"/>
      <c r="DT116" s="2"/>
      <c r="DU116" s="2"/>
      <c r="DV116" s="10"/>
      <c r="DW116" s="2"/>
      <c r="DX116" s="2"/>
      <c r="DY116" s="34"/>
      <c r="DZ116" s="34"/>
      <c r="EA116" s="34"/>
      <c r="EB116" s="210"/>
      <c r="EC116" s="210"/>
      <c r="ED116" s="210"/>
      <c r="EE116" s="34"/>
      <c r="EF116" s="34"/>
      <c r="EG116" s="34"/>
      <c r="EH116" s="34"/>
      <c r="EI116" s="34"/>
      <c r="EJ116" s="34"/>
      <c r="EK116" s="34"/>
      <c r="EL116" s="34"/>
      <c r="EM116" s="34"/>
      <c r="EN116" s="314"/>
      <c r="EO116" s="30"/>
      <c r="EP116" s="318"/>
      <c r="EQ116" s="318"/>
    </row>
    <row r="117" spans="1:147" s="136" customFormat="1" ht="16.5">
      <c r="A117" s="34"/>
      <c r="B117" s="58"/>
      <c r="C117" s="58"/>
      <c r="D117" s="32"/>
      <c r="E117" s="32"/>
      <c r="F117" s="32"/>
      <c r="G117" s="58"/>
      <c r="H117" s="144"/>
      <c r="I117" s="144"/>
      <c r="J117" s="58"/>
      <c r="K117" s="146"/>
      <c r="L117" s="146"/>
      <c r="M117" s="146"/>
      <c r="N117" s="538"/>
      <c r="O117" s="538"/>
      <c r="P117" s="538"/>
      <c r="Q117" s="538"/>
      <c r="R117" s="147"/>
      <c r="S117" s="145"/>
      <c r="T117" s="145"/>
      <c r="U117" s="145"/>
      <c r="V117" s="58"/>
      <c r="W117" s="33"/>
      <c r="X117" s="58"/>
      <c r="Y117" s="58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1"/>
      <c r="AK117" s="31"/>
      <c r="AL117" s="30"/>
      <c r="AM117" s="30"/>
      <c r="AN117" s="30"/>
      <c r="AO117" s="30"/>
      <c r="AP117" s="31"/>
      <c r="AQ117" s="31"/>
      <c r="AR117" s="31"/>
      <c r="AS117" s="30"/>
      <c r="AT117" s="30"/>
      <c r="AU117" s="34"/>
      <c r="AV117" s="34"/>
      <c r="AW117" s="30"/>
      <c r="AX117" s="31"/>
      <c r="AY117" s="31"/>
      <c r="AZ117" s="31"/>
      <c r="BA117" s="31"/>
      <c r="BB117" s="31"/>
      <c r="BC117" s="30"/>
      <c r="BD117" s="31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7"/>
      <c r="BX117" s="7"/>
      <c r="BY117" s="20"/>
      <c r="BZ117" s="2"/>
      <c r="CA117" s="181"/>
      <c r="CB117" s="2"/>
      <c r="CC117" s="2"/>
      <c r="CD117" s="181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>
        <f t="shared" si="175"/>
      </c>
      <c r="CR117" s="2">
        <f t="shared" si="124"/>
      </c>
      <c r="CS117" s="128"/>
      <c r="CT117" s="2"/>
      <c r="CU117" s="2"/>
      <c r="CV117" s="128"/>
      <c r="CW117" s="2"/>
      <c r="CX117" s="2"/>
      <c r="CY117" s="128"/>
      <c r="CZ117" s="2">
        <f t="shared" si="182"/>
      </c>
      <c r="DA117" s="2">
        <f t="shared" si="183"/>
      </c>
      <c r="DB117" s="128">
        <f t="shared" si="184"/>
      </c>
      <c r="DC117" s="2">
        <f t="shared" si="185"/>
      </c>
      <c r="DD117" s="2">
        <f t="shared" si="186"/>
      </c>
      <c r="DE117" s="128">
        <f t="shared" si="187"/>
      </c>
      <c r="DF117" s="2"/>
      <c r="DG117" s="2"/>
      <c r="DH117" s="128"/>
      <c r="DI117" s="2">
        <f t="shared" si="188"/>
      </c>
      <c r="DJ117" s="2">
        <f t="shared" si="189"/>
      </c>
      <c r="DK117" s="128">
        <f t="shared" si="203"/>
      </c>
      <c r="DL117" s="128"/>
      <c r="DM117" s="21"/>
      <c r="DN117" s="2"/>
      <c r="DO117" s="2"/>
      <c r="DP117" s="2"/>
      <c r="DQ117" s="2"/>
      <c r="DR117" s="2"/>
      <c r="DS117" s="2"/>
      <c r="DT117" s="2"/>
      <c r="DU117" s="2"/>
      <c r="DV117" s="10"/>
      <c r="DW117" s="2"/>
      <c r="DX117" s="2"/>
      <c r="DY117" s="34"/>
      <c r="DZ117" s="34"/>
      <c r="EA117" s="34"/>
      <c r="EB117" s="210"/>
      <c r="EC117" s="210"/>
      <c r="ED117" s="210"/>
      <c r="EE117" s="34"/>
      <c r="EF117" s="34"/>
      <c r="EG117" s="34"/>
      <c r="EH117" s="34"/>
      <c r="EI117" s="34"/>
      <c r="EJ117" s="34"/>
      <c r="EK117" s="34"/>
      <c r="EL117" s="34"/>
      <c r="EM117" s="34"/>
      <c r="EN117" s="314"/>
      <c r="EO117" s="30"/>
      <c r="EP117" s="318"/>
      <c r="EQ117" s="318"/>
    </row>
    <row r="118" spans="1:147" s="136" customFormat="1" ht="16.5" hidden="1">
      <c r="A118" s="34"/>
      <c r="B118" s="58"/>
      <c r="C118" s="58"/>
      <c r="D118" s="32"/>
      <c r="E118" s="32"/>
      <c r="F118" s="32"/>
      <c r="G118" s="58"/>
      <c r="H118" s="144"/>
      <c r="I118" s="144"/>
      <c r="J118" s="58"/>
      <c r="K118" s="146"/>
      <c r="L118" s="146"/>
      <c r="M118" s="146"/>
      <c r="N118" s="538"/>
      <c r="O118" s="538"/>
      <c r="P118" s="538"/>
      <c r="Q118" s="538"/>
      <c r="R118" s="147"/>
      <c r="S118" s="145"/>
      <c r="T118" s="145"/>
      <c r="U118" s="145"/>
      <c r="V118" s="58"/>
      <c r="W118" s="33"/>
      <c r="X118" s="58"/>
      <c r="Y118" s="58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1"/>
      <c r="AK118" s="31"/>
      <c r="AL118" s="30"/>
      <c r="AM118" s="30"/>
      <c r="AN118" s="30"/>
      <c r="AO118" s="30"/>
      <c r="AP118" s="31"/>
      <c r="AQ118" s="31"/>
      <c r="AR118" s="31"/>
      <c r="AS118" s="30"/>
      <c r="AT118" s="30"/>
      <c r="AU118" s="34"/>
      <c r="AV118" s="34"/>
      <c r="AW118" s="30"/>
      <c r="AX118" s="31"/>
      <c r="AY118" s="31"/>
      <c r="AZ118" s="31"/>
      <c r="BA118" s="31"/>
      <c r="BB118" s="31"/>
      <c r="BC118" s="30"/>
      <c r="BD118" s="31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7"/>
      <c r="BX118" s="7"/>
      <c r="BY118" s="20"/>
      <c r="BZ118" s="2"/>
      <c r="CA118" s="181"/>
      <c r="CB118" s="2"/>
      <c r="CC118" s="2"/>
      <c r="CD118" s="181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>
        <f t="shared" si="175"/>
      </c>
      <c r="CR118" s="2">
        <f t="shared" si="124"/>
      </c>
      <c r="CS118" s="128"/>
      <c r="CT118" s="2"/>
      <c r="CU118" s="2"/>
      <c r="CV118" s="128"/>
      <c r="CW118" s="2"/>
      <c r="CX118" s="2"/>
      <c r="CY118" s="128"/>
      <c r="CZ118" s="2">
        <f t="shared" si="182"/>
      </c>
      <c r="DA118" s="2">
        <f t="shared" si="183"/>
      </c>
      <c r="DB118" s="128">
        <f t="shared" si="184"/>
      </c>
      <c r="DC118" s="2">
        <f t="shared" si="185"/>
      </c>
      <c r="DD118" s="2">
        <f t="shared" si="186"/>
      </c>
      <c r="DE118" s="128">
        <f t="shared" si="187"/>
      </c>
      <c r="DF118" s="2"/>
      <c r="DG118" s="2"/>
      <c r="DH118" s="128"/>
      <c r="DI118" s="2">
        <f t="shared" si="188"/>
      </c>
      <c r="DJ118" s="2">
        <f t="shared" si="189"/>
      </c>
      <c r="DK118" s="128">
        <f t="shared" si="203"/>
      </c>
      <c r="DL118" s="128"/>
      <c r="DM118" s="21"/>
      <c r="DN118" s="2"/>
      <c r="DO118" s="2"/>
      <c r="DP118" s="2"/>
      <c r="DQ118" s="2"/>
      <c r="DR118" s="2"/>
      <c r="DS118" s="2"/>
      <c r="DT118" s="2"/>
      <c r="DU118" s="2"/>
      <c r="DV118" s="10"/>
      <c r="DW118" s="2"/>
      <c r="DX118" s="2"/>
      <c r="DY118" s="34"/>
      <c r="DZ118" s="34"/>
      <c r="EA118" s="34"/>
      <c r="EB118" s="210"/>
      <c r="EC118" s="210"/>
      <c r="ED118" s="210"/>
      <c r="EE118" s="34"/>
      <c r="EF118" s="34"/>
      <c r="EG118" s="34"/>
      <c r="EH118" s="34"/>
      <c r="EI118" s="34"/>
      <c r="EJ118" s="34"/>
      <c r="EK118" s="34"/>
      <c r="EL118" s="34"/>
      <c r="EM118" s="34"/>
      <c r="EN118" s="314"/>
      <c r="EO118" s="30"/>
      <c r="EP118" s="318"/>
      <c r="EQ118" s="318"/>
    </row>
    <row r="119" spans="1:147" s="136" customFormat="1" ht="16.5" hidden="1">
      <c r="A119" s="34"/>
      <c r="B119" s="58"/>
      <c r="C119" s="58"/>
      <c r="D119" s="32"/>
      <c r="E119" s="32"/>
      <c r="F119" s="32"/>
      <c r="G119" s="58"/>
      <c r="H119" s="144"/>
      <c r="I119" s="144"/>
      <c r="J119" s="58"/>
      <c r="K119" s="146"/>
      <c r="L119" s="146"/>
      <c r="M119" s="146"/>
      <c r="N119" s="538"/>
      <c r="O119" s="538"/>
      <c r="P119" s="538"/>
      <c r="Q119" s="538"/>
      <c r="R119" s="147"/>
      <c r="S119" s="145"/>
      <c r="T119" s="145"/>
      <c r="U119" s="145"/>
      <c r="V119" s="58"/>
      <c r="W119" s="33"/>
      <c r="X119" s="58"/>
      <c r="Y119" s="58"/>
      <c r="Z119" s="32"/>
      <c r="AA119" s="32"/>
      <c r="AB119" s="32"/>
      <c r="AC119" s="362">
        <f>SUM(AC31:AC70)</f>
        <v>-0.24000000000000002</v>
      </c>
      <c r="AD119" s="32"/>
      <c r="AE119" s="32"/>
      <c r="AF119" s="32"/>
      <c r="AG119" s="32"/>
      <c r="AH119" s="32"/>
      <c r="AI119" s="32"/>
      <c r="AJ119" s="31"/>
      <c r="AK119" s="31"/>
      <c r="AL119" s="30"/>
      <c r="AM119" s="30"/>
      <c r="AN119" s="30"/>
      <c r="AO119" s="30"/>
      <c r="AP119" s="31"/>
      <c r="AQ119" s="31"/>
      <c r="AR119" s="31"/>
      <c r="AS119" s="30"/>
      <c r="AT119" s="30"/>
      <c r="AU119" s="34"/>
      <c r="AV119" s="34"/>
      <c r="AW119" s="30"/>
      <c r="AX119" s="31"/>
      <c r="AY119" s="31"/>
      <c r="AZ119" s="31"/>
      <c r="BA119" s="31"/>
      <c r="BB119" s="31"/>
      <c r="BC119" s="30"/>
      <c r="BD119" s="31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7"/>
      <c r="BX119" s="7"/>
      <c r="BY119" s="20"/>
      <c r="BZ119" s="2"/>
      <c r="CA119" s="181"/>
      <c r="CB119" s="2"/>
      <c r="CC119" s="2"/>
      <c r="CD119" s="181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>
        <f t="shared" si="175"/>
      </c>
      <c r="CR119" s="2">
        <f t="shared" si="124"/>
      </c>
      <c r="CS119" s="128"/>
      <c r="CT119" s="2"/>
      <c r="CU119" s="2"/>
      <c r="CV119" s="128"/>
      <c r="CW119" s="2"/>
      <c r="CX119" s="2"/>
      <c r="CY119" s="128"/>
      <c r="CZ119" s="2">
        <f t="shared" si="182"/>
      </c>
      <c r="DA119" s="2">
        <f t="shared" si="183"/>
      </c>
      <c r="DB119" s="128">
        <f t="shared" si="184"/>
      </c>
      <c r="DC119" s="2">
        <f t="shared" si="185"/>
      </c>
      <c r="DD119" s="2">
        <f t="shared" si="186"/>
      </c>
      <c r="DE119" s="128">
        <f t="shared" si="187"/>
      </c>
      <c r="DF119" s="2"/>
      <c r="DG119" s="2"/>
      <c r="DH119" s="128"/>
      <c r="DI119" s="2">
        <f t="shared" si="188"/>
      </c>
      <c r="DJ119" s="2">
        <f t="shared" si="189"/>
      </c>
      <c r="DK119" s="128">
        <f t="shared" si="203"/>
      </c>
      <c r="DL119" s="128"/>
      <c r="DM119" s="21"/>
      <c r="DN119" s="2"/>
      <c r="DO119" s="2"/>
      <c r="DP119" s="2"/>
      <c r="DQ119" s="2"/>
      <c r="DR119" s="2"/>
      <c r="DS119" s="2"/>
      <c r="DT119" s="2"/>
      <c r="DU119" s="2"/>
      <c r="DV119" s="10"/>
      <c r="DW119" s="2"/>
      <c r="DX119" s="2"/>
      <c r="DY119" s="34"/>
      <c r="DZ119" s="34"/>
      <c r="EA119" s="34"/>
      <c r="EB119" s="210"/>
      <c r="EC119" s="210"/>
      <c r="ED119" s="210"/>
      <c r="EE119" s="34"/>
      <c r="EF119" s="34"/>
      <c r="EG119" s="34"/>
      <c r="EH119" s="34"/>
      <c r="EI119" s="34"/>
      <c r="EJ119" s="34"/>
      <c r="EK119" s="34"/>
      <c r="EL119" s="34"/>
      <c r="EM119" s="34"/>
      <c r="EN119" s="314"/>
      <c r="EO119" s="30"/>
      <c r="EP119" s="318"/>
      <c r="EQ119" s="318"/>
    </row>
    <row r="120" spans="1:147" s="136" customFormat="1" ht="16.5" hidden="1">
      <c r="A120" s="34"/>
      <c r="B120" s="58"/>
      <c r="C120" s="58"/>
      <c r="D120" s="32"/>
      <c r="E120" s="32"/>
      <c r="F120" s="32"/>
      <c r="G120" s="58"/>
      <c r="H120" s="144"/>
      <c r="I120" s="144"/>
      <c r="J120" s="58"/>
      <c r="K120" s="146"/>
      <c r="L120" s="146"/>
      <c r="M120" s="146"/>
      <c r="N120" s="538"/>
      <c r="O120" s="538"/>
      <c r="P120" s="538"/>
      <c r="Q120" s="538"/>
      <c r="R120" s="147"/>
      <c r="S120" s="145"/>
      <c r="T120" s="145"/>
      <c r="U120" s="145"/>
      <c r="V120" s="58"/>
      <c r="W120" s="33"/>
      <c r="X120" s="58"/>
      <c r="Y120" s="58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1"/>
      <c r="AK120" s="31"/>
      <c r="AL120" s="30"/>
      <c r="AM120" s="30"/>
      <c r="AN120" s="30"/>
      <c r="AO120" s="30"/>
      <c r="AP120" s="31"/>
      <c r="AQ120" s="31"/>
      <c r="AR120" s="31"/>
      <c r="AS120" s="30"/>
      <c r="AT120" s="30"/>
      <c r="AU120" s="34"/>
      <c r="AV120" s="34"/>
      <c r="AW120" s="30"/>
      <c r="AX120" s="31"/>
      <c r="AY120" s="31"/>
      <c r="AZ120" s="31"/>
      <c r="BA120" s="31"/>
      <c r="BB120" s="31"/>
      <c r="BC120" s="30"/>
      <c r="BD120" s="31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7"/>
      <c r="BX120" s="7"/>
      <c r="BY120" s="20"/>
      <c r="BZ120" s="2"/>
      <c r="CA120" s="181"/>
      <c r="CB120" s="2"/>
      <c r="CC120" s="2"/>
      <c r="CD120" s="181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>
        <f t="shared" si="175"/>
      </c>
      <c r="CR120" s="2">
        <f t="shared" si="124"/>
      </c>
      <c r="CS120" s="128"/>
      <c r="CT120" s="2"/>
      <c r="CU120" s="2"/>
      <c r="CV120" s="128"/>
      <c r="CW120" s="2"/>
      <c r="CX120" s="2"/>
      <c r="CY120" s="128"/>
      <c r="CZ120" s="2">
        <f t="shared" si="182"/>
      </c>
      <c r="DA120" s="2">
        <f t="shared" si="183"/>
      </c>
      <c r="DB120" s="128">
        <f t="shared" si="184"/>
      </c>
      <c r="DC120" s="2">
        <f t="shared" si="185"/>
      </c>
      <c r="DD120" s="2">
        <f t="shared" si="186"/>
      </c>
      <c r="DE120" s="128">
        <f t="shared" si="187"/>
      </c>
      <c r="DF120" s="2"/>
      <c r="DG120" s="2"/>
      <c r="DH120" s="128"/>
      <c r="DI120" s="2">
        <f t="shared" si="188"/>
      </c>
      <c r="DJ120" s="2">
        <f t="shared" si="189"/>
      </c>
      <c r="DK120" s="128">
        <f t="shared" si="203"/>
      </c>
      <c r="DL120" s="128"/>
      <c r="DM120" s="21"/>
      <c r="DN120" s="2"/>
      <c r="DO120" s="2"/>
      <c r="DP120" s="2"/>
      <c r="DQ120" s="2"/>
      <c r="DR120" s="2"/>
      <c r="DS120" s="2"/>
      <c r="DT120" s="2"/>
      <c r="DU120" s="2"/>
      <c r="DV120" s="10"/>
      <c r="DW120" s="2"/>
      <c r="DX120" s="2"/>
      <c r="DY120" s="34"/>
      <c r="DZ120" s="34"/>
      <c r="EA120" s="34"/>
      <c r="EB120" s="210"/>
      <c r="EC120" s="210"/>
      <c r="ED120" s="210"/>
      <c r="EE120" s="34"/>
      <c r="EF120" s="34"/>
      <c r="EG120" s="34"/>
      <c r="EH120" s="34"/>
      <c r="EI120" s="34"/>
      <c r="EJ120" s="34"/>
      <c r="EK120" s="34"/>
      <c r="EL120" s="34"/>
      <c r="EM120" s="34"/>
      <c r="EN120" s="314"/>
      <c r="EO120" s="30"/>
      <c r="EP120" s="318"/>
      <c r="EQ120" s="318"/>
    </row>
    <row r="121" spans="1:147" s="136" customFormat="1" ht="16.5" hidden="1">
      <c r="A121" s="34"/>
      <c r="B121" s="58"/>
      <c r="C121" s="58"/>
      <c r="D121" s="32"/>
      <c r="E121" s="32"/>
      <c r="F121" s="32"/>
      <c r="G121" s="58"/>
      <c r="H121" s="144"/>
      <c r="I121" s="144"/>
      <c r="J121" s="58"/>
      <c r="K121" s="146"/>
      <c r="L121" s="146"/>
      <c r="M121" s="146"/>
      <c r="N121" s="538"/>
      <c r="O121" s="538"/>
      <c r="P121" s="538"/>
      <c r="Q121" s="538"/>
      <c r="R121" s="147"/>
      <c r="S121" s="145"/>
      <c r="T121" s="145"/>
      <c r="U121" s="145"/>
      <c r="V121" s="58"/>
      <c r="W121" s="33"/>
      <c r="X121" s="58"/>
      <c r="Y121" s="58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1"/>
      <c r="AK121" s="31"/>
      <c r="AL121" s="30"/>
      <c r="AM121" s="30"/>
      <c r="AN121" s="30"/>
      <c r="AO121" s="30"/>
      <c r="AP121" s="31"/>
      <c r="AQ121" s="31"/>
      <c r="AR121" s="31"/>
      <c r="AS121" s="30"/>
      <c r="AT121" s="30"/>
      <c r="AU121" s="34"/>
      <c r="AV121" s="34"/>
      <c r="AW121" s="30"/>
      <c r="AX121" s="31"/>
      <c r="AY121" s="31"/>
      <c r="AZ121" s="31"/>
      <c r="BA121" s="31"/>
      <c r="BB121" s="31"/>
      <c r="BC121" s="30"/>
      <c r="BD121" s="31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7"/>
      <c r="BX121" s="7"/>
      <c r="BY121" s="20"/>
      <c r="BZ121" s="2"/>
      <c r="CA121" s="181"/>
      <c r="CB121" s="2"/>
      <c r="CC121" s="2"/>
      <c r="CD121" s="181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>
        <f t="shared" si="175"/>
      </c>
      <c r="CR121" s="2">
        <f t="shared" si="124"/>
      </c>
      <c r="CS121" s="128"/>
      <c r="CT121" s="2"/>
      <c r="CU121" s="2"/>
      <c r="CV121" s="128"/>
      <c r="CW121" s="2"/>
      <c r="CX121" s="2"/>
      <c r="CY121" s="128"/>
      <c r="CZ121" s="2">
        <f t="shared" si="182"/>
      </c>
      <c r="DA121" s="2">
        <f t="shared" si="183"/>
      </c>
      <c r="DB121" s="128">
        <f t="shared" si="184"/>
      </c>
      <c r="DC121" s="2">
        <f t="shared" si="185"/>
      </c>
      <c r="DD121" s="2">
        <f t="shared" si="186"/>
      </c>
      <c r="DE121" s="128">
        <f t="shared" si="187"/>
      </c>
      <c r="DF121" s="2"/>
      <c r="DG121" s="2"/>
      <c r="DH121" s="128"/>
      <c r="DI121" s="2">
        <f t="shared" si="188"/>
      </c>
      <c r="DJ121" s="2">
        <f t="shared" si="189"/>
      </c>
      <c r="DK121" s="128">
        <f t="shared" si="203"/>
      </c>
      <c r="DL121" s="128"/>
      <c r="DM121" s="21"/>
      <c r="DN121" s="2"/>
      <c r="DO121" s="2"/>
      <c r="DP121" s="2"/>
      <c r="DQ121" s="2"/>
      <c r="DR121" s="2"/>
      <c r="DS121" s="2"/>
      <c r="DT121" s="2"/>
      <c r="DU121" s="2"/>
      <c r="DV121" s="10"/>
      <c r="DW121" s="2"/>
      <c r="DX121" s="2"/>
      <c r="DY121" s="34"/>
      <c r="DZ121" s="34"/>
      <c r="EA121" s="34"/>
      <c r="EB121" s="210"/>
      <c r="EC121" s="210"/>
      <c r="ED121" s="210"/>
      <c r="EE121" s="34"/>
      <c r="EF121" s="34"/>
      <c r="EG121" s="34"/>
      <c r="EH121" s="34"/>
      <c r="EI121" s="34"/>
      <c r="EJ121" s="34"/>
      <c r="EK121" s="34"/>
      <c r="EL121" s="34"/>
      <c r="EM121" s="34"/>
      <c r="EN121" s="314"/>
      <c r="EO121" s="30"/>
      <c r="EP121" s="318"/>
      <c r="EQ121" s="318"/>
    </row>
    <row r="122" spans="1:147" s="136" customFormat="1" ht="16.5" hidden="1">
      <c r="A122" s="34"/>
      <c r="B122" s="58"/>
      <c r="C122" s="58"/>
      <c r="D122" s="32"/>
      <c r="E122" s="32"/>
      <c r="F122" s="32"/>
      <c r="G122" s="58"/>
      <c r="H122" s="144"/>
      <c r="I122" s="144"/>
      <c r="J122" s="58"/>
      <c r="K122" s="146"/>
      <c r="L122" s="146"/>
      <c r="M122" s="146"/>
      <c r="N122" s="538"/>
      <c r="O122" s="538"/>
      <c r="P122" s="538"/>
      <c r="Q122" s="538"/>
      <c r="R122" s="147"/>
      <c r="S122" s="145"/>
      <c r="T122" s="145"/>
      <c r="U122" s="145"/>
      <c r="V122" s="58"/>
      <c r="W122" s="33"/>
      <c r="X122" s="58"/>
      <c r="Y122" s="58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1"/>
      <c r="AK122" s="31"/>
      <c r="AL122" s="30"/>
      <c r="AM122" s="30"/>
      <c r="AN122" s="30"/>
      <c r="AO122" s="30"/>
      <c r="AP122" s="31"/>
      <c r="AQ122" s="31"/>
      <c r="AR122" s="31"/>
      <c r="AS122" s="30"/>
      <c r="AT122" s="30"/>
      <c r="AU122" s="34"/>
      <c r="AV122" s="34"/>
      <c r="AW122" s="30"/>
      <c r="AX122" s="31"/>
      <c r="AY122" s="31"/>
      <c r="AZ122" s="31"/>
      <c r="BA122" s="31"/>
      <c r="BB122" s="31"/>
      <c r="BC122" s="30"/>
      <c r="BD122" s="31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7"/>
      <c r="BX122" s="7"/>
      <c r="BY122" s="20"/>
      <c r="BZ122" s="2"/>
      <c r="CA122" s="181"/>
      <c r="CB122" s="2"/>
      <c r="CC122" s="2"/>
      <c r="CD122" s="181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>
        <f t="shared" si="175"/>
      </c>
      <c r="CR122" s="2">
        <f t="shared" si="124"/>
      </c>
      <c r="CS122" s="128"/>
      <c r="CT122" s="2"/>
      <c r="CU122" s="2"/>
      <c r="CV122" s="128"/>
      <c r="CW122" s="2"/>
      <c r="CX122" s="2"/>
      <c r="CY122" s="128"/>
      <c r="CZ122" s="2">
        <f t="shared" si="182"/>
      </c>
      <c r="DA122" s="2">
        <f t="shared" si="183"/>
      </c>
      <c r="DB122" s="128">
        <f t="shared" si="184"/>
      </c>
      <c r="DC122" s="2">
        <f t="shared" si="185"/>
      </c>
      <c r="DD122" s="2">
        <f t="shared" si="186"/>
      </c>
      <c r="DE122" s="128">
        <f t="shared" si="187"/>
      </c>
      <c r="DF122" s="2"/>
      <c r="DG122" s="2"/>
      <c r="DH122" s="128"/>
      <c r="DI122" s="2">
        <f t="shared" si="188"/>
      </c>
      <c r="DJ122" s="2">
        <f t="shared" si="189"/>
      </c>
      <c r="DK122" s="128">
        <f t="shared" si="203"/>
      </c>
      <c r="DL122" s="128"/>
      <c r="DM122" s="21"/>
      <c r="DN122" s="2"/>
      <c r="DO122" s="2"/>
      <c r="DP122" s="2"/>
      <c r="DQ122" s="2"/>
      <c r="DR122" s="2"/>
      <c r="DS122" s="2"/>
      <c r="DT122" s="2"/>
      <c r="DU122" s="2"/>
      <c r="DV122" s="10"/>
      <c r="DW122" s="2"/>
      <c r="DX122" s="2"/>
      <c r="DY122" s="34"/>
      <c r="DZ122" s="34"/>
      <c r="EA122" s="34"/>
      <c r="EB122" s="210"/>
      <c r="EC122" s="210"/>
      <c r="ED122" s="210"/>
      <c r="EE122" s="34"/>
      <c r="EF122" s="34"/>
      <c r="EG122" s="34"/>
      <c r="EH122" s="34"/>
      <c r="EI122" s="34"/>
      <c r="EJ122" s="34"/>
      <c r="EK122" s="34"/>
      <c r="EL122" s="34"/>
      <c r="EM122" s="34"/>
      <c r="EN122" s="314"/>
      <c r="EO122" s="30"/>
      <c r="EP122" s="318"/>
      <c r="EQ122" s="318"/>
    </row>
    <row r="123" spans="1:147" s="136" customFormat="1" ht="16.5" hidden="1">
      <c r="A123" s="34"/>
      <c r="B123" s="58"/>
      <c r="C123" s="58"/>
      <c r="D123" s="32"/>
      <c r="E123" s="32"/>
      <c r="F123" s="32"/>
      <c r="G123" s="58"/>
      <c r="H123" s="144"/>
      <c r="I123" s="144"/>
      <c r="J123" s="58"/>
      <c r="K123" s="146"/>
      <c r="L123" s="146"/>
      <c r="M123" s="146"/>
      <c r="N123" s="538"/>
      <c r="O123" s="538"/>
      <c r="P123" s="538"/>
      <c r="Q123" s="538"/>
      <c r="R123" s="147"/>
      <c r="S123" s="145"/>
      <c r="T123" s="145"/>
      <c r="U123" s="145"/>
      <c r="V123" s="58"/>
      <c r="W123" s="33"/>
      <c r="X123" s="58"/>
      <c r="Y123" s="58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1"/>
      <c r="AK123" s="31"/>
      <c r="AL123" s="30"/>
      <c r="AM123" s="30"/>
      <c r="AN123" s="30"/>
      <c r="AO123" s="30"/>
      <c r="AP123" s="31"/>
      <c r="AQ123" s="31"/>
      <c r="AR123" s="31"/>
      <c r="AS123" s="30"/>
      <c r="AT123" s="30"/>
      <c r="AU123" s="34"/>
      <c r="AV123" s="34"/>
      <c r="AW123" s="30"/>
      <c r="AX123" s="31"/>
      <c r="AY123" s="31"/>
      <c r="AZ123" s="31"/>
      <c r="BA123" s="31"/>
      <c r="BB123" s="31"/>
      <c r="BC123" s="30"/>
      <c r="BD123" s="31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7"/>
      <c r="BX123" s="7"/>
      <c r="BY123" s="20"/>
      <c r="BZ123" s="2"/>
      <c r="CA123" s="181"/>
      <c r="CB123" s="2"/>
      <c r="CC123" s="2"/>
      <c r="CD123" s="181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>
        <f t="shared" si="175"/>
      </c>
      <c r="CR123" s="2">
        <f t="shared" si="124"/>
      </c>
      <c r="CS123" s="128"/>
      <c r="CT123" s="2"/>
      <c r="CU123" s="2"/>
      <c r="CV123" s="128"/>
      <c r="CW123" s="2"/>
      <c r="CX123" s="2"/>
      <c r="CY123" s="128"/>
      <c r="CZ123" s="2">
        <f t="shared" si="182"/>
      </c>
      <c r="DA123" s="2">
        <f t="shared" si="183"/>
      </c>
      <c r="DB123" s="128">
        <f t="shared" si="184"/>
      </c>
      <c r="DC123" s="2">
        <f t="shared" si="185"/>
      </c>
      <c r="DD123" s="2">
        <f t="shared" si="186"/>
      </c>
      <c r="DE123" s="128">
        <f t="shared" si="187"/>
      </c>
      <c r="DF123" s="2"/>
      <c r="DG123" s="2"/>
      <c r="DH123" s="128"/>
      <c r="DI123" s="2">
        <f t="shared" si="188"/>
      </c>
      <c r="DJ123" s="2">
        <f t="shared" si="189"/>
      </c>
      <c r="DK123" s="128">
        <f t="shared" si="203"/>
      </c>
      <c r="DL123" s="128"/>
      <c r="DM123" s="21"/>
      <c r="DN123" s="2"/>
      <c r="DO123" s="2"/>
      <c r="DP123" s="2"/>
      <c r="DQ123" s="2"/>
      <c r="DR123" s="2"/>
      <c r="DS123" s="2"/>
      <c r="DT123" s="2"/>
      <c r="DU123" s="2"/>
      <c r="DV123" s="10"/>
      <c r="DW123" s="2"/>
      <c r="DX123" s="2"/>
      <c r="DY123" s="34"/>
      <c r="DZ123" s="34"/>
      <c r="EA123" s="34"/>
      <c r="EB123" s="210"/>
      <c r="EC123" s="210"/>
      <c r="ED123" s="210"/>
      <c r="EE123" s="34"/>
      <c r="EF123" s="34"/>
      <c r="EG123" s="34"/>
      <c r="EH123" s="34"/>
      <c r="EI123" s="34"/>
      <c r="EJ123" s="34"/>
      <c r="EK123" s="34"/>
      <c r="EL123" s="34"/>
      <c r="EM123" s="34"/>
      <c r="EN123" s="314"/>
      <c r="EO123" s="30"/>
      <c r="EP123" s="318"/>
      <c r="EQ123" s="318"/>
    </row>
    <row r="124" spans="1:147" s="136" customFormat="1" ht="16.5" hidden="1">
      <c r="A124" s="34"/>
      <c r="B124" s="58"/>
      <c r="C124" s="58"/>
      <c r="D124" s="32"/>
      <c r="E124" s="32"/>
      <c r="F124" s="32"/>
      <c r="G124" s="58"/>
      <c r="H124" s="144"/>
      <c r="I124" s="144"/>
      <c r="J124" s="58"/>
      <c r="K124" s="146"/>
      <c r="L124" s="146"/>
      <c r="M124" s="146"/>
      <c r="N124" s="538"/>
      <c r="O124" s="538"/>
      <c r="P124" s="538"/>
      <c r="Q124" s="538"/>
      <c r="R124" s="147"/>
      <c r="S124" s="145"/>
      <c r="T124" s="145"/>
      <c r="U124" s="145"/>
      <c r="V124" s="58"/>
      <c r="W124" s="33"/>
      <c r="X124" s="58"/>
      <c r="Y124" s="58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1"/>
      <c r="AK124" s="31"/>
      <c r="AL124" s="30"/>
      <c r="AM124" s="30"/>
      <c r="AN124" s="30"/>
      <c r="AO124" s="30"/>
      <c r="AP124" s="31"/>
      <c r="AQ124" s="31"/>
      <c r="AR124" s="31"/>
      <c r="AS124" s="30"/>
      <c r="AT124" s="30"/>
      <c r="AU124" s="34"/>
      <c r="AV124" s="34"/>
      <c r="AW124" s="30"/>
      <c r="AX124" s="31"/>
      <c r="AY124" s="31"/>
      <c r="AZ124" s="31"/>
      <c r="BA124" s="31"/>
      <c r="BB124" s="31"/>
      <c r="BC124" s="30"/>
      <c r="BD124" s="31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7"/>
      <c r="BX124" s="7"/>
      <c r="BY124" s="20"/>
      <c r="BZ124" s="2"/>
      <c r="CA124" s="181"/>
      <c r="CB124" s="2"/>
      <c r="CC124" s="2"/>
      <c r="CD124" s="181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>
        <f t="shared" si="175"/>
      </c>
      <c r="CR124" s="2">
        <f t="shared" si="124"/>
      </c>
      <c r="CS124" s="128"/>
      <c r="CT124" s="2"/>
      <c r="CU124" s="2"/>
      <c r="CV124" s="128"/>
      <c r="CW124" s="2"/>
      <c r="CX124" s="2"/>
      <c r="CY124" s="128"/>
      <c r="CZ124" s="2">
        <f t="shared" si="182"/>
      </c>
      <c r="DA124" s="2">
        <f t="shared" si="183"/>
      </c>
      <c r="DB124" s="128">
        <f t="shared" si="184"/>
      </c>
      <c r="DC124" s="2">
        <f t="shared" si="185"/>
      </c>
      <c r="DD124" s="2">
        <f t="shared" si="186"/>
      </c>
      <c r="DE124" s="128">
        <f t="shared" si="187"/>
      </c>
      <c r="DF124" s="2"/>
      <c r="DG124" s="2"/>
      <c r="DH124" s="128"/>
      <c r="DI124" s="2">
        <f t="shared" si="188"/>
      </c>
      <c r="DJ124" s="2">
        <f t="shared" si="189"/>
      </c>
      <c r="DK124" s="128">
        <f t="shared" si="203"/>
      </c>
      <c r="DL124" s="128"/>
      <c r="DM124" s="21"/>
      <c r="DN124" s="2"/>
      <c r="DO124" s="2"/>
      <c r="DP124" s="2"/>
      <c r="DQ124" s="2"/>
      <c r="DR124" s="2"/>
      <c r="DS124" s="2"/>
      <c r="DT124" s="2"/>
      <c r="DU124" s="2"/>
      <c r="DV124" s="10"/>
      <c r="DW124" s="2"/>
      <c r="DX124" s="2"/>
      <c r="DY124" s="34"/>
      <c r="DZ124" s="34"/>
      <c r="EA124" s="34"/>
      <c r="EB124" s="210"/>
      <c r="EC124" s="210"/>
      <c r="ED124" s="210"/>
      <c r="EE124" s="34"/>
      <c r="EF124" s="34"/>
      <c r="EG124" s="34"/>
      <c r="EH124" s="34"/>
      <c r="EI124" s="34"/>
      <c r="EJ124" s="34"/>
      <c r="EK124" s="34"/>
      <c r="EL124" s="34"/>
      <c r="EM124" s="34"/>
      <c r="EN124" s="314"/>
      <c r="EO124" s="30"/>
      <c r="EP124" s="318"/>
      <c r="EQ124" s="318"/>
    </row>
    <row r="125" spans="1:147" s="136" customFormat="1" ht="16.5" hidden="1">
      <c r="A125" s="34"/>
      <c r="B125" s="53"/>
      <c r="C125" s="53"/>
      <c r="D125" s="26"/>
      <c r="E125" s="26"/>
      <c r="F125" s="26"/>
      <c r="G125" s="53"/>
      <c r="H125" s="132"/>
      <c r="I125" s="132"/>
      <c r="J125" s="53"/>
      <c r="K125" s="117"/>
      <c r="L125" s="117"/>
      <c r="M125" s="117"/>
      <c r="N125" s="537"/>
      <c r="O125" s="537"/>
      <c r="P125" s="537"/>
      <c r="Q125" s="537"/>
      <c r="R125" s="134"/>
      <c r="S125" s="133"/>
      <c r="T125" s="133"/>
      <c r="U125" s="133"/>
      <c r="V125" s="53"/>
      <c r="W125" s="135"/>
      <c r="X125" s="53"/>
      <c r="Y125" s="53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7"/>
      <c r="AK125" s="27"/>
      <c r="AL125" s="137"/>
      <c r="AM125" s="137"/>
      <c r="AN125" s="137"/>
      <c r="AO125" s="137"/>
      <c r="AP125" s="27"/>
      <c r="AQ125" s="27"/>
      <c r="AR125" s="27"/>
      <c r="AS125" s="137"/>
      <c r="AT125" s="137"/>
      <c r="AW125" s="137"/>
      <c r="AX125" s="27"/>
      <c r="AY125" s="27"/>
      <c r="AZ125" s="27"/>
      <c r="BA125" s="27"/>
      <c r="BB125" s="27"/>
      <c r="BC125" s="137"/>
      <c r="BD125" s="27"/>
      <c r="BW125" s="7"/>
      <c r="BX125" s="7"/>
      <c r="BY125" s="20"/>
      <c r="BZ125" s="2"/>
      <c r="CA125" s="181"/>
      <c r="CB125" s="2"/>
      <c r="CC125" s="2"/>
      <c r="CD125" s="181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>
        <f t="shared" si="175"/>
      </c>
      <c r="CR125" s="2">
        <f t="shared" si="124"/>
      </c>
      <c r="CS125" s="128"/>
      <c r="CT125" s="2"/>
      <c r="CU125" s="2"/>
      <c r="CV125" s="128"/>
      <c r="CW125" s="2"/>
      <c r="CX125" s="2"/>
      <c r="CY125" s="128"/>
      <c r="CZ125" s="2">
        <f t="shared" si="182"/>
      </c>
      <c r="DA125" s="2">
        <f t="shared" si="183"/>
      </c>
      <c r="DB125" s="128">
        <f t="shared" si="184"/>
      </c>
      <c r="DC125" s="2">
        <f t="shared" si="185"/>
      </c>
      <c r="DD125" s="2">
        <f t="shared" si="186"/>
      </c>
      <c r="DE125" s="128">
        <f t="shared" si="187"/>
      </c>
      <c r="DF125" s="2"/>
      <c r="DG125" s="2"/>
      <c r="DH125" s="128"/>
      <c r="DI125" s="2">
        <f t="shared" si="188"/>
      </c>
      <c r="DJ125" s="2">
        <f t="shared" si="189"/>
      </c>
      <c r="DK125" s="128">
        <f t="shared" si="203"/>
      </c>
      <c r="DL125" s="128"/>
      <c r="DM125" s="21"/>
      <c r="DN125" s="2"/>
      <c r="DO125" s="2"/>
      <c r="DP125" s="2"/>
      <c r="DQ125" s="2"/>
      <c r="DR125" s="2"/>
      <c r="DS125" s="2"/>
      <c r="DT125" s="2"/>
      <c r="DU125" s="2"/>
      <c r="DV125" s="10"/>
      <c r="DW125" s="2"/>
      <c r="DX125" s="2"/>
      <c r="EB125" s="212"/>
      <c r="EC125" s="212"/>
      <c r="ED125" s="212"/>
      <c r="EN125" s="318"/>
      <c r="EO125" s="137"/>
      <c r="EP125" s="318"/>
      <c r="EQ125" s="318"/>
    </row>
    <row r="126" spans="2:147" s="136" customFormat="1" ht="16.5" hidden="1">
      <c r="B126" s="53"/>
      <c r="C126" s="53"/>
      <c r="D126" s="26"/>
      <c r="E126" s="26"/>
      <c r="F126" s="26"/>
      <c r="G126" s="53"/>
      <c r="H126" s="132"/>
      <c r="I126" s="132"/>
      <c r="J126" s="53"/>
      <c r="K126" s="117"/>
      <c r="L126" s="117"/>
      <c r="M126" s="117"/>
      <c r="N126" s="537"/>
      <c r="O126" s="537"/>
      <c r="P126" s="537"/>
      <c r="Q126" s="537"/>
      <c r="R126" s="134"/>
      <c r="S126" s="133"/>
      <c r="T126" s="133"/>
      <c r="U126" s="133"/>
      <c r="V126" s="53"/>
      <c r="W126" s="135"/>
      <c r="X126" s="53"/>
      <c r="Y126" s="53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7"/>
      <c r="AK126" s="27"/>
      <c r="AL126" s="137"/>
      <c r="AM126" s="137"/>
      <c r="AN126" s="137"/>
      <c r="AO126" s="137"/>
      <c r="AP126" s="27"/>
      <c r="AQ126" s="27"/>
      <c r="AR126" s="27"/>
      <c r="AS126" s="137"/>
      <c r="AT126" s="137"/>
      <c r="AW126" s="137"/>
      <c r="AX126" s="27"/>
      <c r="AY126" s="27"/>
      <c r="AZ126" s="27"/>
      <c r="BA126" s="27"/>
      <c r="BB126" s="27"/>
      <c r="BC126" s="137"/>
      <c r="BD126" s="27"/>
      <c r="BW126" s="7"/>
      <c r="BX126" s="7"/>
      <c r="BY126" s="20"/>
      <c r="BZ126" s="2"/>
      <c r="CA126" s="181"/>
      <c r="CB126" s="2"/>
      <c r="CC126" s="2"/>
      <c r="CD126" s="181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>
        <f t="shared" si="175"/>
      </c>
      <c r="CR126" s="2">
        <f t="shared" si="124"/>
      </c>
      <c r="CS126" s="128"/>
      <c r="CT126" s="2"/>
      <c r="CU126" s="2"/>
      <c r="CV126" s="128"/>
      <c r="CW126" s="2"/>
      <c r="CX126" s="2"/>
      <c r="CY126" s="128"/>
      <c r="CZ126" s="2">
        <f t="shared" si="182"/>
      </c>
      <c r="DA126" s="2">
        <f t="shared" si="183"/>
      </c>
      <c r="DB126" s="128">
        <f t="shared" si="184"/>
      </c>
      <c r="DC126" s="2">
        <f t="shared" si="185"/>
      </c>
      <c r="DD126" s="2">
        <f t="shared" si="186"/>
      </c>
      <c r="DE126" s="128">
        <f t="shared" si="187"/>
      </c>
      <c r="DF126" s="2"/>
      <c r="DG126" s="2"/>
      <c r="DH126" s="128"/>
      <c r="DI126" s="2">
        <f t="shared" si="188"/>
      </c>
      <c r="DJ126" s="2">
        <f t="shared" si="189"/>
      </c>
      <c r="DK126" s="128">
        <f t="shared" si="203"/>
      </c>
      <c r="DL126" s="128"/>
      <c r="DM126" s="21"/>
      <c r="DN126" s="2"/>
      <c r="DO126" s="2"/>
      <c r="DP126" s="2"/>
      <c r="DQ126" s="2"/>
      <c r="DR126" s="2"/>
      <c r="DS126" s="2"/>
      <c r="DT126" s="2"/>
      <c r="DU126" s="2"/>
      <c r="DV126" s="10"/>
      <c r="DW126" s="2"/>
      <c r="DX126" s="2"/>
      <c r="EB126" s="212"/>
      <c r="EC126" s="212"/>
      <c r="ED126" s="212"/>
      <c r="EN126" s="318"/>
      <c r="EO126" s="137"/>
      <c r="EP126" s="318"/>
      <c r="EQ126" s="318"/>
    </row>
    <row r="127" spans="2:147" s="136" customFormat="1" ht="16.5" hidden="1">
      <c r="B127" s="53"/>
      <c r="C127" s="53"/>
      <c r="D127" s="26"/>
      <c r="E127" s="26"/>
      <c r="F127" s="26"/>
      <c r="G127" s="53"/>
      <c r="H127" s="132"/>
      <c r="I127" s="132"/>
      <c r="J127" s="53"/>
      <c r="K127" s="117"/>
      <c r="L127" s="117"/>
      <c r="M127" s="117"/>
      <c r="N127" s="537"/>
      <c r="O127" s="537"/>
      <c r="P127" s="537"/>
      <c r="Q127" s="537"/>
      <c r="R127" s="134"/>
      <c r="S127" s="133"/>
      <c r="T127" s="133"/>
      <c r="U127" s="133"/>
      <c r="V127" s="53"/>
      <c r="W127" s="135"/>
      <c r="X127" s="53"/>
      <c r="Y127" s="53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7"/>
      <c r="AK127" s="27"/>
      <c r="AL127" s="137"/>
      <c r="AM127" s="137"/>
      <c r="AN127" s="137"/>
      <c r="AO127" s="137"/>
      <c r="AP127" s="27"/>
      <c r="AQ127" s="27"/>
      <c r="AR127" s="27"/>
      <c r="AS127" s="137"/>
      <c r="AT127" s="137"/>
      <c r="AW127" s="137"/>
      <c r="AX127" s="27"/>
      <c r="AY127" s="27"/>
      <c r="AZ127" s="27"/>
      <c r="BA127" s="27"/>
      <c r="BB127" s="27"/>
      <c r="BC127" s="137"/>
      <c r="BD127" s="27"/>
      <c r="BW127" s="7"/>
      <c r="BX127" s="7"/>
      <c r="BY127" s="20"/>
      <c r="BZ127" s="2"/>
      <c r="CA127" s="181"/>
      <c r="CB127" s="2"/>
      <c r="CC127" s="2"/>
      <c r="CD127" s="181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>
        <f t="shared" si="175"/>
      </c>
      <c r="CR127" s="2">
        <f t="shared" si="124"/>
      </c>
      <c r="CS127" s="128"/>
      <c r="CT127" s="2"/>
      <c r="CU127" s="2"/>
      <c r="CV127" s="128"/>
      <c r="CW127" s="2"/>
      <c r="CX127" s="2"/>
      <c r="CY127" s="128"/>
      <c r="CZ127" s="2">
        <f t="shared" si="182"/>
      </c>
      <c r="DA127" s="2">
        <f t="shared" si="183"/>
      </c>
      <c r="DB127" s="128">
        <f t="shared" si="184"/>
      </c>
      <c r="DC127" s="2">
        <f t="shared" si="185"/>
      </c>
      <c r="DD127" s="2">
        <f t="shared" si="186"/>
      </c>
      <c r="DE127" s="128">
        <f t="shared" si="187"/>
      </c>
      <c r="DF127" s="2"/>
      <c r="DG127" s="2"/>
      <c r="DH127" s="128"/>
      <c r="DI127" s="2">
        <f t="shared" si="188"/>
      </c>
      <c r="DJ127" s="2">
        <f t="shared" si="189"/>
      </c>
      <c r="DK127" s="128">
        <f t="shared" si="203"/>
      </c>
      <c r="DL127" s="128"/>
      <c r="DM127" s="21"/>
      <c r="DN127" s="2"/>
      <c r="DO127" s="2"/>
      <c r="DP127" s="2"/>
      <c r="DQ127" s="2"/>
      <c r="DR127" s="2"/>
      <c r="DS127" s="2"/>
      <c r="DT127" s="2"/>
      <c r="DU127" s="2"/>
      <c r="DV127" s="10"/>
      <c r="DW127" s="2"/>
      <c r="DX127" s="2"/>
      <c r="EB127" s="212"/>
      <c r="EC127" s="212"/>
      <c r="ED127" s="212"/>
      <c r="EN127" s="318"/>
      <c r="EO127" s="137"/>
      <c r="EP127" s="318"/>
      <c r="EQ127" s="318"/>
    </row>
    <row r="128" spans="2:147" s="136" customFormat="1" ht="16.5" hidden="1">
      <c r="B128" s="53"/>
      <c r="C128" s="53"/>
      <c r="D128" s="26"/>
      <c r="E128" s="26"/>
      <c r="F128" s="26"/>
      <c r="G128" s="53"/>
      <c r="H128" s="132"/>
      <c r="I128" s="132"/>
      <c r="J128" s="53"/>
      <c r="K128" s="117"/>
      <c r="L128" s="117"/>
      <c r="M128" s="117"/>
      <c r="N128" s="537"/>
      <c r="O128" s="537"/>
      <c r="P128" s="537"/>
      <c r="Q128" s="537"/>
      <c r="R128" s="134"/>
      <c r="S128" s="133"/>
      <c r="T128" s="133"/>
      <c r="U128" s="133"/>
      <c r="V128" s="53"/>
      <c r="W128" s="135"/>
      <c r="X128" s="53"/>
      <c r="Y128" s="53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7"/>
      <c r="AK128" s="27"/>
      <c r="AL128" s="137"/>
      <c r="AM128" s="137"/>
      <c r="AN128" s="137"/>
      <c r="AO128" s="137"/>
      <c r="AP128" s="27"/>
      <c r="AQ128" s="27"/>
      <c r="AR128" s="27"/>
      <c r="AS128" s="137"/>
      <c r="AT128" s="137"/>
      <c r="AW128" s="137"/>
      <c r="AX128" s="27"/>
      <c r="AY128" s="27"/>
      <c r="AZ128" s="27"/>
      <c r="BA128" s="27"/>
      <c r="BB128" s="27"/>
      <c r="BC128" s="137"/>
      <c r="BD128" s="27"/>
      <c r="BW128" s="7"/>
      <c r="BX128" s="7"/>
      <c r="BY128" s="20"/>
      <c r="BZ128" s="2"/>
      <c r="CA128" s="181"/>
      <c r="CB128" s="2"/>
      <c r="CC128" s="2"/>
      <c r="CD128" s="181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>
        <f t="shared" si="175"/>
      </c>
      <c r="CR128" s="2">
        <f t="shared" si="124"/>
      </c>
      <c r="CS128" s="128"/>
      <c r="CT128" s="2"/>
      <c r="CU128" s="2"/>
      <c r="CV128" s="128"/>
      <c r="CW128" s="2"/>
      <c r="CX128" s="2"/>
      <c r="CY128" s="128"/>
      <c r="CZ128" s="2">
        <f t="shared" si="182"/>
      </c>
      <c r="DA128" s="2">
        <f t="shared" si="183"/>
      </c>
      <c r="DB128" s="128">
        <f t="shared" si="184"/>
      </c>
      <c r="DC128" s="2">
        <f t="shared" si="185"/>
      </c>
      <c r="DD128" s="2">
        <f t="shared" si="186"/>
      </c>
      <c r="DE128" s="128">
        <f t="shared" si="187"/>
      </c>
      <c r="DF128" s="2"/>
      <c r="DG128" s="2"/>
      <c r="DH128" s="128"/>
      <c r="DI128" s="2">
        <f t="shared" si="188"/>
      </c>
      <c r="DJ128" s="2">
        <f t="shared" si="189"/>
      </c>
      <c r="DK128" s="128">
        <f t="shared" si="203"/>
      </c>
      <c r="DL128" s="128"/>
      <c r="DM128" s="21"/>
      <c r="DN128" s="2"/>
      <c r="DO128" s="2"/>
      <c r="DP128" s="2"/>
      <c r="DQ128" s="2"/>
      <c r="DR128" s="2"/>
      <c r="DS128" s="2"/>
      <c r="DT128" s="2"/>
      <c r="DU128" s="2"/>
      <c r="DV128" s="10"/>
      <c r="DW128" s="2"/>
      <c r="DX128" s="2"/>
      <c r="EB128" s="212"/>
      <c r="EC128" s="212"/>
      <c r="ED128" s="212"/>
      <c r="EN128" s="318"/>
      <c r="EO128" s="137"/>
      <c r="EP128" s="318"/>
      <c r="EQ128" s="318"/>
    </row>
    <row r="129" spans="2:147" s="136" customFormat="1" ht="16.5" hidden="1">
      <c r="B129" s="53"/>
      <c r="C129" s="53"/>
      <c r="D129" s="26"/>
      <c r="E129" s="26"/>
      <c r="F129" s="26"/>
      <c r="G129" s="53"/>
      <c r="H129" s="132"/>
      <c r="I129" s="132"/>
      <c r="J129" s="53"/>
      <c r="K129" s="117"/>
      <c r="L129" s="117"/>
      <c r="M129" s="117"/>
      <c r="N129" s="537"/>
      <c r="O129" s="537"/>
      <c r="P129" s="537"/>
      <c r="Q129" s="537"/>
      <c r="R129" s="134"/>
      <c r="S129" s="133"/>
      <c r="T129" s="133"/>
      <c r="U129" s="133"/>
      <c r="V129" s="53"/>
      <c r="W129" s="135"/>
      <c r="X129" s="53"/>
      <c r="Y129" s="53"/>
      <c r="Z129" s="26"/>
      <c r="AA129" s="26"/>
      <c r="AB129" s="26"/>
      <c r="AC129" s="26"/>
      <c r="AD129" s="26"/>
      <c r="AE129" s="26"/>
      <c r="AF129" s="26" t="s">
        <v>157</v>
      </c>
      <c r="AG129" s="408" t="s">
        <v>134</v>
      </c>
      <c r="AH129" s="410" t="s">
        <v>135</v>
      </c>
      <c r="AI129" s="26" t="s">
        <v>149</v>
      </c>
      <c r="AJ129" s="27"/>
      <c r="AK129" s="27"/>
      <c r="AL129" s="137"/>
      <c r="AM129" s="137"/>
      <c r="AN129" s="137"/>
      <c r="AO129" s="137"/>
      <c r="AP129" s="27"/>
      <c r="AQ129" s="27"/>
      <c r="AR129" s="27"/>
      <c r="AS129" s="137"/>
      <c r="AT129" s="137"/>
      <c r="AW129" s="137"/>
      <c r="AX129" s="27"/>
      <c r="AY129" s="27"/>
      <c r="AZ129" s="27"/>
      <c r="BA129" s="27"/>
      <c r="BB129" s="27"/>
      <c r="BC129" s="137"/>
      <c r="BD129" s="27"/>
      <c r="BW129" s="7"/>
      <c r="BX129" s="7"/>
      <c r="BY129" s="20"/>
      <c r="BZ129" s="2"/>
      <c r="CA129" s="181"/>
      <c r="CB129" s="2"/>
      <c r="CC129" s="2"/>
      <c r="CD129" s="181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>
        <f t="shared" si="175"/>
      </c>
      <c r="CR129" s="2">
        <f t="shared" si="124"/>
      </c>
      <c r="CS129" s="128"/>
      <c r="CT129" s="2"/>
      <c r="CU129" s="2"/>
      <c r="CV129" s="128"/>
      <c r="CW129" s="2"/>
      <c r="CX129" s="2"/>
      <c r="CY129" s="128"/>
      <c r="CZ129" s="2">
        <f t="shared" si="182"/>
      </c>
      <c r="DA129" s="2">
        <f t="shared" si="183"/>
      </c>
      <c r="DB129" s="128">
        <f t="shared" si="184"/>
      </c>
      <c r="DC129" s="2">
        <f t="shared" si="185"/>
      </c>
      <c r="DD129" s="2">
        <f t="shared" si="186"/>
      </c>
      <c r="DE129" s="128">
        <f t="shared" si="187"/>
      </c>
      <c r="DF129" s="2"/>
      <c r="DG129" s="2"/>
      <c r="DH129" s="128"/>
      <c r="DI129" s="2">
        <f t="shared" si="188"/>
      </c>
      <c r="DJ129" s="2">
        <f t="shared" si="189"/>
      </c>
      <c r="DK129" s="128">
        <f t="shared" si="203"/>
      </c>
      <c r="DL129" s="128"/>
      <c r="DM129" s="21"/>
      <c r="DN129" s="2"/>
      <c r="DO129" s="2"/>
      <c r="DP129" s="2"/>
      <c r="DQ129" s="2"/>
      <c r="DR129" s="2"/>
      <c r="DS129" s="2"/>
      <c r="DT129" s="2"/>
      <c r="DU129" s="2"/>
      <c r="DV129" s="10"/>
      <c r="DW129" s="2"/>
      <c r="DX129" s="2"/>
      <c r="EB129" s="212"/>
      <c r="EC129" s="212"/>
      <c r="ED129" s="212"/>
      <c r="EN129" s="318"/>
      <c r="EO129" s="137"/>
      <c r="EP129" s="318"/>
      <c r="EQ129" s="318"/>
    </row>
    <row r="130" spans="2:147" s="136" customFormat="1" ht="18" customHeight="1" hidden="1">
      <c r="B130" s="53"/>
      <c r="C130" s="53"/>
      <c r="D130" s="26"/>
      <c r="E130" s="26"/>
      <c r="F130" s="26"/>
      <c r="G130" s="53"/>
      <c r="H130" s="132"/>
      <c r="I130" s="132"/>
      <c r="J130" s="53"/>
      <c r="K130" s="117"/>
      <c r="L130" s="117"/>
      <c r="M130" s="117"/>
      <c r="N130" s="537"/>
      <c r="O130" s="537"/>
      <c r="P130" s="537"/>
      <c r="Q130" s="537"/>
      <c r="R130" s="399" t="s">
        <v>121</v>
      </c>
      <c r="S130" s="400"/>
      <c r="T130" s="400"/>
      <c r="U130" s="400"/>
      <c r="V130" s="400"/>
      <c r="W130" s="241" t="str">
        <f>DN5</f>
        <v>115.9.28</v>
      </c>
      <c r="X130" s="305">
        <f>IF(W130=AH133,DATE(AH132+1911,U7,W7),DATE(AH132+1911,AB9,AC9))</f>
        <v>46293</v>
      </c>
      <c r="Y130" s="53"/>
      <c r="Z130" s="26"/>
      <c r="AA130" s="26" t="s">
        <v>112</v>
      </c>
      <c r="AB130" s="26" t="s">
        <v>112</v>
      </c>
      <c r="AC130" s="26" t="s">
        <v>111</v>
      </c>
      <c r="AD130" s="26"/>
      <c r="AE130" s="26"/>
      <c r="AF130" s="26"/>
      <c r="AG130" s="409"/>
      <c r="AH130" s="411"/>
      <c r="AI130" s="26"/>
      <c r="AJ130" s="27"/>
      <c r="AK130" s="27"/>
      <c r="AL130" s="137"/>
      <c r="AM130" s="137"/>
      <c r="AN130" s="137"/>
      <c r="AO130" s="137"/>
      <c r="AP130" s="27"/>
      <c r="AQ130" s="27"/>
      <c r="AR130" s="27"/>
      <c r="AS130" s="137"/>
      <c r="AT130" s="137"/>
      <c r="AW130" s="137"/>
      <c r="AX130" s="27"/>
      <c r="AY130" s="27"/>
      <c r="AZ130" s="27"/>
      <c r="BA130" s="27"/>
      <c r="BB130" s="27"/>
      <c r="BC130" s="137"/>
      <c r="BD130" s="27"/>
      <c r="BW130" s="7"/>
      <c r="BX130" s="7"/>
      <c r="BY130" s="20"/>
      <c r="BZ130" s="2"/>
      <c r="CA130" s="181"/>
      <c r="CB130" s="2"/>
      <c r="CC130" s="2"/>
      <c r="CD130" s="181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>
        <f t="shared" si="175"/>
      </c>
      <c r="CR130" s="2">
        <f t="shared" si="124"/>
      </c>
      <c r="CS130" s="128"/>
      <c r="CT130" s="2"/>
      <c r="CU130" s="2"/>
      <c r="CV130" s="128"/>
      <c r="CW130" s="2"/>
      <c r="CX130" s="2"/>
      <c r="CY130" s="128"/>
      <c r="CZ130" s="2">
        <f t="shared" si="182"/>
      </c>
      <c r="DA130" s="2">
        <f t="shared" si="183"/>
      </c>
      <c r="DB130" s="128">
        <f t="shared" si="184"/>
      </c>
      <c r="DC130" s="2">
        <f t="shared" si="185"/>
      </c>
      <c r="DD130" s="2">
        <f t="shared" si="186"/>
      </c>
      <c r="DE130" s="128">
        <f t="shared" si="187"/>
      </c>
      <c r="DF130" s="2"/>
      <c r="DG130" s="2"/>
      <c r="DH130" s="128"/>
      <c r="DI130" s="2">
        <f t="shared" si="188"/>
      </c>
      <c r="DJ130" s="2">
        <f t="shared" si="189"/>
      </c>
      <c r="DK130" s="128">
        <f t="shared" si="203"/>
      </c>
      <c r="DL130" s="128"/>
      <c r="DM130" s="21"/>
      <c r="DN130" s="2"/>
      <c r="DO130" s="2"/>
      <c r="DP130" s="2"/>
      <c r="DQ130" s="2"/>
      <c r="DR130" s="2"/>
      <c r="DS130" s="2"/>
      <c r="DT130" s="2"/>
      <c r="DU130" s="2"/>
      <c r="DV130" s="10"/>
      <c r="DW130" s="2"/>
      <c r="DX130" s="2"/>
      <c r="EB130" s="212"/>
      <c r="EC130" s="212"/>
      <c r="ED130" s="212"/>
      <c r="EN130" s="318"/>
      <c r="EO130" s="137"/>
      <c r="EP130" s="318"/>
      <c r="EQ130" s="318"/>
    </row>
    <row r="131" spans="2:147" s="136" customFormat="1" ht="16.5" hidden="1">
      <c r="B131" s="53"/>
      <c r="C131" s="53"/>
      <c r="D131" s="26"/>
      <c r="E131" s="26"/>
      <c r="F131" s="26"/>
      <c r="G131" s="53"/>
      <c r="H131" s="132"/>
      <c r="I131" s="132"/>
      <c r="J131" s="53"/>
      <c r="K131" s="117"/>
      <c r="L131" s="117"/>
      <c r="M131" s="117"/>
      <c r="N131" s="537"/>
      <c r="O131" s="537"/>
      <c r="P131" s="537"/>
      <c r="Q131" s="537"/>
      <c r="R131" s="399" t="s">
        <v>123</v>
      </c>
      <c r="S131" s="400"/>
      <c r="T131" s="400"/>
      <c r="U131" s="400"/>
      <c r="V131" s="400"/>
      <c r="W131" s="242" t="str">
        <f>LEFT(W130,3)</f>
        <v>115</v>
      </c>
      <c r="X131" s="53"/>
      <c r="Y131" s="53"/>
      <c r="Z131" s="227"/>
      <c r="AA131" s="227">
        <f>IF(ISERROR(MATCH("●",AA31:AA113,0))=TRUE,0,MATCH("●",AA31:AA113,0))</f>
        <v>0</v>
      </c>
      <c r="AB131" s="253">
        <f>IF(ISERROR(MATCH("●",AB31:AB113,0))=TRUE,0,MATCH("●",AB31:AB113,0))</f>
        <v>9</v>
      </c>
      <c r="AC131" s="253">
        <f>IF(ISERROR(MATCH(-20%,AC31:AC113,0))=FALSE,MATCH(-20%,AC31:AC113,0),IF(ISERROR(MATCH(-16%,AC31:AC113,0))=FALSE,MATCH(-16%,AC31:AC113,0),IF(ISERROR(MATCH(-12%,AC31:AC113,0))=FALSE,MATCH(-12%,AC31:AC113,0),IF(ISERROR(MATCH(-8%,AC31:AC113,0))=FALSE,MATCH(-8%,AC31:AC113,0),IF(ISERROR(MATCH(-4%,AC31:AC113,0))=FALSE,MATCH(-4%,AC31:AC113,0),0)))))</f>
        <v>9</v>
      </c>
      <c r="AD131" s="26"/>
      <c r="AE131" s="26"/>
      <c r="AF131" s="26">
        <f>MATCH(1,AF31:AF113,0)</f>
        <v>12</v>
      </c>
      <c r="AG131" s="270">
        <f>IF(ISERROR(MATCH("●",AB31:AB113,0))=TRUE,0,MATCH("●",AB31:AB113,0))</f>
        <v>9</v>
      </c>
      <c r="AH131" s="255">
        <f>MATCH("★",V31:V113,0)</f>
        <v>11</v>
      </c>
      <c r="AI131" s="26">
        <f>MATCH(1,EI31:EI113,0)</f>
        <v>11</v>
      </c>
      <c r="AJ131" s="27"/>
      <c r="AK131" s="27"/>
      <c r="AL131" s="137"/>
      <c r="AM131" s="137"/>
      <c r="AN131" s="137"/>
      <c r="AO131" s="137"/>
      <c r="AP131" s="27"/>
      <c r="AQ131" s="27"/>
      <c r="AR131" s="27"/>
      <c r="AS131" s="137"/>
      <c r="AT131" s="137"/>
      <c r="AW131" s="137"/>
      <c r="AX131" s="27"/>
      <c r="AY131" s="27"/>
      <c r="AZ131" s="27"/>
      <c r="BA131" s="27"/>
      <c r="BB131" s="27"/>
      <c r="BC131" s="137"/>
      <c r="BD131" s="27"/>
      <c r="BW131" s="7"/>
      <c r="BX131" s="7"/>
      <c r="BY131" s="20"/>
      <c r="BZ131" s="2"/>
      <c r="CA131" s="181"/>
      <c r="CB131" s="2"/>
      <c r="CC131" s="2"/>
      <c r="CD131" s="181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>
        <f t="shared" si="175"/>
      </c>
      <c r="CR131" s="2">
        <f t="shared" si="124"/>
      </c>
      <c r="CS131" s="128"/>
      <c r="CT131" s="2"/>
      <c r="CU131" s="2"/>
      <c r="CV131" s="128"/>
      <c r="CW131" s="2"/>
      <c r="CX131" s="2"/>
      <c r="CY131" s="128"/>
      <c r="CZ131" s="2">
        <f t="shared" si="182"/>
      </c>
      <c r="DA131" s="2">
        <f t="shared" si="183"/>
      </c>
      <c r="DB131" s="128">
        <f t="shared" si="184"/>
      </c>
      <c r="DC131" s="2">
        <f t="shared" si="185"/>
      </c>
      <c r="DD131" s="2">
        <f t="shared" si="186"/>
      </c>
      <c r="DE131" s="128">
        <f t="shared" si="187"/>
      </c>
      <c r="DF131" s="2"/>
      <c r="DG131" s="2"/>
      <c r="DH131" s="128"/>
      <c r="DI131" s="2">
        <f t="shared" si="188"/>
      </c>
      <c r="DJ131" s="2">
        <f t="shared" si="189"/>
      </c>
      <c r="DK131" s="128">
        <f t="shared" si="203"/>
      </c>
      <c r="DL131" s="128"/>
      <c r="DM131" s="21"/>
      <c r="DN131" s="2"/>
      <c r="DO131" s="2"/>
      <c r="DP131" s="2"/>
      <c r="DQ131" s="2"/>
      <c r="DR131" s="2"/>
      <c r="DS131" s="2"/>
      <c r="DT131" s="2"/>
      <c r="DU131" s="2"/>
      <c r="DV131" s="10"/>
      <c r="DW131" s="2"/>
      <c r="DX131" s="2"/>
      <c r="EB131" s="212"/>
      <c r="EC131" s="212"/>
      <c r="ED131" s="212"/>
      <c r="EN131" s="318"/>
      <c r="EO131" s="137"/>
      <c r="EP131" s="318"/>
      <c r="EQ131" s="318"/>
    </row>
    <row r="132" spans="2:147" s="136" customFormat="1" ht="16.5" hidden="1">
      <c r="B132" s="53"/>
      <c r="C132" s="53"/>
      <c r="D132" s="26"/>
      <c r="E132" s="26"/>
      <c r="F132" s="26"/>
      <c r="G132" s="53"/>
      <c r="H132" s="132"/>
      <c r="I132" s="132"/>
      <c r="J132" s="53"/>
      <c r="K132" s="117"/>
      <c r="L132" s="117"/>
      <c r="M132" s="117"/>
      <c r="N132" s="537"/>
      <c r="O132" s="537"/>
      <c r="P132" s="537"/>
      <c r="Q132" s="537"/>
      <c r="R132" s="399" t="s">
        <v>124</v>
      </c>
      <c r="S132" s="400"/>
      <c r="T132" s="400"/>
      <c r="U132" s="400"/>
      <c r="V132" s="400"/>
      <c r="W132" s="238">
        <f>INDEX(U31:U113,MATCH("★",V31:V113,0))-INDEX(R31:R113,MATCH("★",V31:V113,0))</f>
        <v>0</v>
      </c>
      <c r="X132" s="138"/>
      <c r="Y132" s="138"/>
      <c r="Z132" s="227"/>
      <c r="AA132" s="227">
        <f>IF(AA131=0,"",INDEX($B$31:$B$113,AA131))</f>
      </c>
      <c r="AB132" s="253">
        <f>IF(AB131=0,"",INDEX($B$31:$B$113,AB131))</f>
        <v>113</v>
      </c>
      <c r="AC132" s="253">
        <f>IF(AC131=0,"",INDEX($B$31:$B$113,AC131))</f>
        <v>113</v>
      </c>
      <c r="AF132" s="139">
        <f>INDEX($B$31:$B$113,AF131)</f>
        <v>116</v>
      </c>
      <c r="AG132" s="251"/>
      <c r="AH132" s="256">
        <f>IF(AH131=0,"",INDEX($B$31:$B$113,AH131))</f>
        <v>115</v>
      </c>
      <c r="AI132" s="139">
        <f>INDEX($B$31:$B$113,AI131)</f>
        <v>115</v>
      </c>
      <c r="AP132" s="27"/>
      <c r="AQ132" s="27"/>
      <c r="AR132" s="27"/>
      <c r="AX132" s="140"/>
      <c r="AY132" s="140"/>
      <c r="AZ132" s="140"/>
      <c r="BA132" s="140"/>
      <c r="BB132" s="140"/>
      <c r="BW132" s="7"/>
      <c r="BX132" s="7"/>
      <c r="BY132" s="20"/>
      <c r="BZ132" s="2"/>
      <c r="CA132" s="181"/>
      <c r="CB132" s="2"/>
      <c r="CC132" s="2"/>
      <c r="CD132" s="181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>
        <f t="shared" si="175"/>
      </c>
      <c r="CR132" s="2">
        <f t="shared" si="124"/>
      </c>
      <c r="CS132" s="128"/>
      <c r="CT132" s="2"/>
      <c r="CU132" s="2"/>
      <c r="CV132" s="128"/>
      <c r="CW132" s="2"/>
      <c r="CX132" s="2"/>
      <c r="CY132" s="128"/>
      <c r="CZ132" s="2">
        <f t="shared" si="182"/>
      </c>
      <c r="DA132" s="2">
        <f t="shared" si="183"/>
      </c>
      <c r="DB132" s="128">
        <f t="shared" si="184"/>
      </c>
      <c r="DC132" s="2">
        <f t="shared" si="185"/>
      </c>
      <c r="DD132" s="2">
        <f t="shared" si="186"/>
      </c>
      <c r="DE132" s="128">
        <f t="shared" si="187"/>
      </c>
      <c r="DF132" s="2"/>
      <c r="DG132" s="2"/>
      <c r="DH132" s="128"/>
      <c r="DI132" s="2">
        <f t="shared" si="188"/>
      </c>
      <c r="DJ132" s="2">
        <f t="shared" si="189"/>
      </c>
      <c r="DK132" s="128">
        <f t="shared" si="203"/>
      </c>
      <c r="DL132" s="128"/>
      <c r="DM132" s="21"/>
      <c r="DN132" s="2"/>
      <c r="DO132" s="2"/>
      <c r="DP132" s="2"/>
      <c r="DQ132" s="2"/>
      <c r="DR132" s="2"/>
      <c r="DS132" s="2"/>
      <c r="DT132" s="2"/>
      <c r="DU132" s="2"/>
      <c r="DV132" s="10"/>
      <c r="DW132" s="2"/>
      <c r="DX132" s="2"/>
      <c r="EB132" s="212"/>
      <c r="EC132" s="212"/>
      <c r="ED132" s="212"/>
      <c r="EN132" s="318"/>
      <c r="EO132" s="137"/>
      <c r="EP132" s="318"/>
      <c r="EQ132" s="318"/>
    </row>
    <row r="133" spans="2:147" s="136" customFormat="1" ht="16.5" hidden="1">
      <c r="B133" s="53"/>
      <c r="C133" s="53"/>
      <c r="D133" s="26"/>
      <c r="E133" s="26"/>
      <c r="F133" s="26"/>
      <c r="G133" s="53"/>
      <c r="H133" s="132"/>
      <c r="I133" s="132"/>
      <c r="J133" s="53"/>
      <c r="K133" s="117"/>
      <c r="L133" s="117"/>
      <c r="M133" s="117"/>
      <c r="N133" s="537"/>
      <c r="O133" s="537"/>
      <c r="P133" s="537"/>
      <c r="Q133" s="537"/>
      <c r="R133" s="134"/>
      <c r="S133" s="133"/>
      <c r="T133" s="133"/>
      <c r="U133" s="133"/>
      <c r="V133" s="138"/>
      <c r="W133" s="138"/>
      <c r="X133" s="138"/>
      <c r="Y133" s="138"/>
      <c r="Z133" s="231" t="s">
        <v>100</v>
      </c>
      <c r="AA133" s="228">
        <f>IF(AA132="","",AA132&amp;"."&amp;$U$7&amp;"."&amp;$W$7)</f>
      </c>
      <c r="AB133" s="254" t="str">
        <f>IF(AB132="","",AB132&amp;"."&amp;$U$7&amp;"."&amp;$W$7)</f>
        <v>113.2.5</v>
      </c>
      <c r="AC133" s="254" t="str">
        <f>IF(AC132="","",AC132&amp;"."&amp;$U$7&amp;"."&amp;$W$7)</f>
        <v>113.2.5</v>
      </c>
      <c r="AF133" s="139" t="str">
        <f>AF132&amp;"."&amp;$U$7&amp;"."&amp;$W$7</f>
        <v>116.2.5</v>
      </c>
      <c r="AG133" s="251"/>
      <c r="AH133" s="257" t="str">
        <f>IF(AH132="","",AH132&amp;"."&amp;$U$7&amp;"."&amp;$W$7)</f>
        <v>115.2.5</v>
      </c>
      <c r="AI133" s="139" t="str">
        <f>AI132&amp;"."&amp;$U$7&amp;"."&amp;$W$7</f>
        <v>115.2.5</v>
      </c>
      <c r="AP133" s="27"/>
      <c r="AQ133" s="27"/>
      <c r="AR133" s="27"/>
      <c r="AX133" s="140"/>
      <c r="AY133" s="140"/>
      <c r="AZ133" s="140"/>
      <c r="BA133" s="140"/>
      <c r="BB133" s="140"/>
      <c r="BW133" s="7"/>
      <c r="BX133" s="7"/>
      <c r="BY133" s="20"/>
      <c r="BZ133" s="2"/>
      <c r="CA133" s="181"/>
      <c r="CB133" s="2"/>
      <c r="CC133" s="2"/>
      <c r="CD133" s="181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>
        <f t="shared" si="175"/>
      </c>
      <c r="CR133" s="2">
        <f t="shared" si="124"/>
      </c>
      <c r="CS133" s="128"/>
      <c r="CT133" s="2"/>
      <c r="CU133" s="2"/>
      <c r="CV133" s="128"/>
      <c r="CW133" s="2"/>
      <c r="CX133" s="2"/>
      <c r="CY133" s="128"/>
      <c r="CZ133" s="2">
        <f t="shared" si="182"/>
      </c>
      <c r="DA133" s="2">
        <f t="shared" si="183"/>
      </c>
      <c r="DB133" s="128">
        <f t="shared" si="184"/>
      </c>
      <c r="DC133" s="2">
        <f t="shared" si="185"/>
      </c>
      <c r="DD133" s="2">
        <f t="shared" si="186"/>
      </c>
      <c r="DE133" s="128">
        <f t="shared" si="187"/>
      </c>
      <c r="DF133" s="2"/>
      <c r="DG133" s="2"/>
      <c r="DH133" s="128"/>
      <c r="DI133" s="2">
        <f t="shared" si="188"/>
      </c>
      <c r="DJ133" s="2">
        <f t="shared" si="189"/>
      </c>
      <c r="DK133" s="128">
        <f t="shared" si="203"/>
      </c>
      <c r="DL133" s="128"/>
      <c r="DM133" s="21"/>
      <c r="DN133" s="2"/>
      <c r="DO133" s="2"/>
      <c r="DP133" s="2"/>
      <c r="DQ133" s="2"/>
      <c r="DR133" s="2"/>
      <c r="DS133" s="2"/>
      <c r="DT133" s="2"/>
      <c r="DU133" s="2"/>
      <c r="DV133" s="10"/>
      <c r="DW133" s="2"/>
      <c r="DX133" s="2"/>
      <c r="EB133" s="212"/>
      <c r="EC133" s="212"/>
      <c r="ED133" s="212"/>
      <c r="EN133" s="318"/>
      <c r="EO133" s="137"/>
      <c r="EP133" s="318"/>
      <c r="EQ133" s="318"/>
    </row>
    <row r="134" spans="2:147" s="136" customFormat="1" ht="16.5" hidden="1">
      <c r="B134" s="53"/>
      <c r="C134" s="53"/>
      <c r="D134" s="26"/>
      <c r="E134" s="26"/>
      <c r="F134" s="26"/>
      <c r="G134" s="53"/>
      <c r="H134" s="132"/>
      <c r="I134" s="132"/>
      <c r="J134" s="53"/>
      <c r="K134" s="117"/>
      <c r="L134" s="117"/>
      <c r="M134" s="117"/>
      <c r="N134" s="537"/>
      <c r="O134" s="537"/>
      <c r="P134" s="537"/>
      <c r="Q134" s="537"/>
      <c r="R134" s="134"/>
      <c r="S134" s="133"/>
      <c r="T134" s="133"/>
      <c r="U134" s="133"/>
      <c r="V134" s="138"/>
      <c r="W134" s="138"/>
      <c r="X134" s="138"/>
      <c r="Y134" s="138"/>
      <c r="Z134" s="231" t="s">
        <v>113</v>
      </c>
      <c r="AA134" s="228">
        <f>IF(AA132="","",AA132&amp;"."&amp;$AB$9&amp;"."&amp;$AC$9)</f>
      </c>
      <c r="AB134" s="254" t="str">
        <f>IF(AB132="","",AB132&amp;"."&amp;$AB$9&amp;"."&amp;$AC$9)</f>
        <v>113.9.28</v>
      </c>
      <c r="AC134" s="254" t="str">
        <f>IF(AC132="","",AC132&amp;"."&amp;$AB$9&amp;"."&amp;$AC$9)</f>
        <v>113.9.28</v>
      </c>
      <c r="AF134" s="139" t="str">
        <f>AF132&amp;"."&amp;$AB$9&amp;"."&amp;$AC$9</f>
        <v>116.9.28</v>
      </c>
      <c r="AG134" s="251"/>
      <c r="AH134" s="257" t="str">
        <f>IF(AH132="","",AH132&amp;"."&amp;$AB$9&amp;"."&amp;$AC$9)</f>
        <v>115.9.28</v>
      </c>
      <c r="AI134" s="139" t="str">
        <f>AI132&amp;"."&amp;$AB$9&amp;"."&amp;$AC$9</f>
        <v>115.9.28</v>
      </c>
      <c r="AP134" s="27"/>
      <c r="AQ134" s="27"/>
      <c r="AR134" s="27"/>
      <c r="AX134" s="140"/>
      <c r="AY134" s="140"/>
      <c r="AZ134" s="140"/>
      <c r="BA134" s="140"/>
      <c r="BB134" s="140"/>
      <c r="BW134" s="7"/>
      <c r="BX134" s="7"/>
      <c r="BY134" s="20"/>
      <c r="BZ134" s="2"/>
      <c r="CA134" s="181"/>
      <c r="CB134" s="2"/>
      <c r="CC134" s="2"/>
      <c r="CD134" s="181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>
        <f t="shared" si="175"/>
      </c>
      <c r="CR134" s="2">
        <f t="shared" si="124"/>
      </c>
      <c r="CS134" s="128"/>
      <c r="CT134" s="2"/>
      <c r="CU134" s="2"/>
      <c r="CV134" s="128"/>
      <c r="CW134" s="2"/>
      <c r="CX134" s="2"/>
      <c r="CY134" s="128"/>
      <c r="CZ134" s="2">
        <f t="shared" si="182"/>
      </c>
      <c r="DA134" s="2">
        <f t="shared" si="183"/>
      </c>
      <c r="DB134" s="128">
        <f t="shared" si="184"/>
      </c>
      <c r="DC134" s="2">
        <f t="shared" si="185"/>
      </c>
      <c r="DD134" s="2">
        <f t="shared" si="186"/>
      </c>
      <c r="DE134" s="128">
        <f t="shared" si="187"/>
      </c>
      <c r="DF134" s="2"/>
      <c r="DG134" s="2"/>
      <c r="DH134" s="128"/>
      <c r="DI134" s="2">
        <f t="shared" si="188"/>
      </c>
      <c r="DJ134" s="2">
        <f t="shared" si="189"/>
      </c>
      <c r="DK134" s="128">
        <f t="shared" si="203"/>
      </c>
      <c r="DL134" s="128"/>
      <c r="DM134" s="21"/>
      <c r="DN134" s="2"/>
      <c r="DO134" s="2"/>
      <c r="DP134" s="2"/>
      <c r="DQ134" s="2"/>
      <c r="DR134" s="2"/>
      <c r="DS134" s="2"/>
      <c r="DT134" s="2"/>
      <c r="DU134" s="2"/>
      <c r="DV134" s="10"/>
      <c r="DW134" s="2"/>
      <c r="DX134" s="2"/>
      <c r="EB134" s="212"/>
      <c r="EC134" s="212"/>
      <c r="ED134" s="212"/>
      <c r="EN134" s="318"/>
      <c r="EO134" s="137"/>
      <c r="EP134" s="318"/>
      <c r="EQ134" s="318"/>
    </row>
    <row r="135" spans="2:147" s="136" customFormat="1" ht="16.5" hidden="1">
      <c r="B135" s="53"/>
      <c r="C135" s="53"/>
      <c r="D135" s="26"/>
      <c r="E135" s="26"/>
      <c r="F135" s="26"/>
      <c r="G135" s="53"/>
      <c r="H135" s="132"/>
      <c r="I135" s="132"/>
      <c r="J135" s="53"/>
      <c r="K135" s="117"/>
      <c r="L135" s="117"/>
      <c r="M135" s="117"/>
      <c r="N135" s="537"/>
      <c r="O135" s="537"/>
      <c r="P135" s="537"/>
      <c r="Q135" s="537"/>
      <c r="R135" s="134"/>
      <c r="S135" s="133"/>
      <c r="T135" s="133"/>
      <c r="U135" s="133"/>
      <c r="V135" s="138"/>
      <c r="W135" s="138"/>
      <c r="X135" s="138"/>
      <c r="Y135" s="138"/>
      <c r="Z135" s="231" t="s">
        <v>101</v>
      </c>
      <c r="AA135" s="228">
        <f>IF(AA133="","",AA133&amp;"."&amp;$AB$9&amp;"."&amp;$AC$9)</f>
      </c>
      <c r="AB135" s="229" t="str">
        <f>IF(AB132="","",IF(DATE(AB132+1911,$U$7,$W$7)&gt;DATE(AB132+1911,$AB$9,$AC$9),AB132&amp;"."&amp;$AB$9&amp;"."&amp;$AC$9,AB132&amp;"."&amp;$U$7&amp;"."&amp;$W$7))</f>
        <v>113.2.5</v>
      </c>
      <c r="AC135" s="229" t="str">
        <f>IF(AC132="","",IF(DATE(AC132+1911,$U$7,$W$7)&gt;DATE(AC132+1911,$AB$9,$AC$9),AC132&amp;"."&amp;$AB$9&amp;"."&amp;$AC$9,AC132&amp;"."&amp;$U$7&amp;"."&amp;$W$7))</f>
        <v>113.2.5</v>
      </c>
      <c r="AF135" s="229" t="str">
        <f>IF(AF132="","",IF(DATE(AF132+1911,$U$7,$W$7)&gt;DATE(AF132+1911,$AB$9,$AC$9),AF132&amp;"."&amp;$AB$9&amp;"."&amp;$AC$9,AF132&amp;"."&amp;$U$7&amp;"."&amp;$W$7))</f>
        <v>116.2.5</v>
      </c>
      <c r="AG135" s="251"/>
      <c r="AH135" s="257" t="str">
        <f>IF(AH133="","",AH132&amp;"."&amp;$AB$9&amp;"."&amp;$AC$9)</f>
        <v>115.9.28</v>
      </c>
      <c r="AI135" s="229" t="str">
        <f>IF(AI132="","",IF(DATE(AI132+1911,$U$7,$W$7)&gt;DATE(AI132+1911,$AB$9,$AC$9),AI132&amp;"."&amp;$AB$9&amp;"."&amp;$AC$9,AI132&amp;"."&amp;$U$7&amp;"."&amp;$W$7))</f>
        <v>115.2.5</v>
      </c>
      <c r="AP135" s="27"/>
      <c r="AQ135" s="27"/>
      <c r="AR135" s="27"/>
      <c r="AX135" s="140"/>
      <c r="AY135" s="140"/>
      <c r="AZ135" s="140"/>
      <c r="BA135" s="140"/>
      <c r="BB135" s="140"/>
      <c r="BW135" s="7"/>
      <c r="BX135" s="7"/>
      <c r="BY135" s="20"/>
      <c r="BZ135" s="2"/>
      <c r="CA135" s="181"/>
      <c r="CB135" s="2"/>
      <c r="CC135" s="2"/>
      <c r="CD135" s="181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>
        <f t="shared" si="175"/>
      </c>
      <c r="CR135" s="2">
        <f t="shared" si="124"/>
      </c>
      <c r="CS135" s="128"/>
      <c r="CT135" s="2"/>
      <c r="CU135" s="2"/>
      <c r="CV135" s="128"/>
      <c r="CW135" s="2"/>
      <c r="CX135" s="2"/>
      <c r="CY135" s="128"/>
      <c r="CZ135" s="2">
        <f t="shared" si="182"/>
      </c>
      <c r="DA135" s="2">
        <f t="shared" si="183"/>
      </c>
      <c r="DB135" s="128">
        <f t="shared" si="184"/>
      </c>
      <c r="DC135" s="2">
        <f t="shared" si="185"/>
      </c>
      <c r="DD135" s="2">
        <f t="shared" si="186"/>
      </c>
      <c r="DE135" s="128">
        <f t="shared" si="187"/>
      </c>
      <c r="DF135" s="2"/>
      <c r="DG135" s="2"/>
      <c r="DH135" s="128"/>
      <c r="DI135" s="2">
        <f t="shared" si="188"/>
      </c>
      <c r="DJ135" s="2">
        <f t="shared" si="189"/>
      </c>
      <c r="DK135" s="128">
        <f t="shared" si="203"/>
      </c>
      <c r="DL135" s="128"/>
      <c r="DM135" s="21"/>
      <c r="DN135" s="2"/>
      <c r="DO135" s="2"/>
      <c r="DP135" s="2"/>
      <c r="DQ135" s="2"/>
      <c r="DR135" s="2"/>
      <c r="DS135" s="2"/>
      <c r="DT135" s="2"/>
      <c r="DU135" s="2"/>
      <c r="DV135" s="10"/>
      <c r="DW135" s="2"/>
      <c r="DX135" s="2"/>
      <c r="EB135" s="212"/>
      <c r="EC135" s="212"/>
      <c r="ED135" s="212"/>
      <c r="EN135" s="318"/>
      <c r="EO135" s="137"/>
      <c r="EP135" s="318"/>
      <c r="EQ135" s="318"/>
    </row>
    <row r="136" spans="2:147" s="136" customFormat="1" ht="16.5" hidden="1">
      <c r="B136" s="53"/>
      <c r="C136" s="53"/>
      <c r="D136" s="26"/>
      <c r="E136" s="26"/>
      <c r="F136" s="26"/>
      <c r="G136" s="53"/>
      <c r="H136" s="132"/>
      <c r="I136" s="132"/>
      <c r="J136" s="53"/>
      <c r="K136" s="117"/>
      <c r="L136" s="117"/>
      <c r="M136" s="117"/>
      <c r="N136" s="537"/>
      <c r="O136" s="537"/>
      <c r="P136" s="537"/>
      <c r="Q136" s="537"/>
      <c r="R136" s="134"/>
      <c r="S136" s="133"/>
      <c r="T136" s="133"/>
      <c r="U136" s="133"/>
      <c r="V136" s="138"/>
      <c r="W136" s="138"/>
      <c r="X136" s="138"/>
      <c r="Y136" s="138"/>
      <c r="Z136" s="231" t="s">
        <v>102</v>
      </c>
      <c r="AA136" s="229">
        <f>IF(AA132="","",IF(DATE(AA132+1911,$U$7,$W$7)&lt;DATE(AA132+1911,$AB$9,$AC$9),AA132&amp;"."&amp;$AB$9&amp;"."&amp;$AC$9,AA132&amp;"."&amp;$U$7&amp;"."&amp;$W$7))</f>
      </c>
      <c r="AB136" s="229" t="str">
        <f>IF(AB132="","",IF(DATE(AB132+1911,$U$7,$W$7)&lt;DATE(AB132+1911,$AB$9,$AC$9),AB132&amp;"."&amp;$AB$9&amp;"."&amp;$AC$9,AB132&amp;"."&amp;$U$7&amp;"."&amp;$W$7))</f>
        <v>113.9.28</v>
      </c>
      <c r="AC136" s="229" t="str">
        <f>IF(AC132="","",IF(DATE(AC132+1911,$U$7,$W$7)&lt;DATE(AC132+1911,$AB$9,$AC$9),AC132&amp;"."&amp;$AB$9&amp;"."&amp;$AC$9,AC132&amp;"."&amp;$U$7&amp;"."&amp;$W$7))</f>
        <v>113.9.28</v>
      </c>
      <c r="AF136" s="229" t="str">
        <f>IF(AF132="","",IF(DATE(AF132+1911,$U$7,$W$7)&lt;DATE(AF132+1911,$AB$9,$AC$9),AF132&amp;"."&amp;$AB$9&amp;"."&amp;$AC$9,AF132&amp;"."&amp;$U$7&amp;"."&amp;$W$7))</f>
        <v>116.9.28</v>
      </c>
      <c r="AG136" s="251"/>
      <c r="AH136" s="258" t="str">
        <f>IF(AH132="","",IF(DATE(AH132+1911,$U$7,$W$7)&lt;DATE(AH132+1911,$AB$9,$AC$9),AH132&amp;"."&amp;$AB$9&amp;"."&amp;$AC$9,AH132&amp;"."&amp;$U$7&amp;"."&amp;$W$7))</f>
        <v>115.9.28</v>
      </c>
      <c r="AI136" s="229" t="str">
        <f>IF(AI132="","",IF(DATE(AI132+1911,$U$7,$W$7)&lt;DATE(AI132+1911,$AB$9,$AC$9),AI132&amp;"."&amp;$AB$9&amp;"."&amp;$AC$9,AI132&amp;"."&amp;$U$7&amp;"."&amp;$W$7))</f>
        <v>115.9.28</v>
      </c>
      <c r="AP136" s="27"/>
      <c r="AQ136" s="27"/>
      <c r="AR136" s="27"/>
      <c r="AX136" s="140"/>
      <c r="AY136" s="140"/>
      <c r="AZ136" s="140"/>
      <c r="BA136" s="140"/>
      <c r="BB136" s="140"/>
      <c r="BW136" s="7"/>
      <c r="BX136" s="7"/>
      <c r="BY136" s="20"/>
      <c r="BZ136" s="2"/>
      <c r="CA136" s="181"/>
      <c r="CB136" s="2"/>
      <c r="CC136" s="2"/>
      <c r="CD136" s="181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>
        <f t="shared" si="175"/>
      </c>
      <c r="CR136" s="2">
        <f t="shared" si="124"/>
      </c>
      <c r="CS136" s="128"/>
      <c r="CT136" s="2"/>
      <c r="CU136" s="2"/>
      <c r="CV136" s="128"/>
      <c r="CW136" s="2"/>
      <c r="CX136" s="2"/>
      <c r="CY136" s="128"/>
      <c r="CZ136" s="2">
        <f t="shared" si="182"/>
      </c>
      <c r="DA136" s="2">
        <f t="shared" si="183"/>
      </c>
      <c r="DB136" s="128">
        <f t="shared" si="184"/>
      </c>
      <c r="DC136" s="2">
        <f t="shared" si="185"/>
      </c>
      <c r="DD136" s="2">
        <f t="shared" si="186"/>
      </c>
      <c r="DE136" s="128">
        <f t="shared" si="187"/>
      </c>
      <c r="DF136" s="2"/>
      <c r="DG136" s="2"/>
      <c r="DH136" s="128"/>
      <c r="DI136" s="2">
        <f t="shared" si="188"/>
      </c>
      <c r="DJ136" s="2">
        <f t="shared" si="189"/>
      </c>
      <c r="DK136" s="128">
        <f t="shared" si="203"/>
      </c>
      <c r="DL136" s="128"/>
      <c r="DM136" s="21"/>
      <c r="DN136" s="2"/>
      <c r="DO136" s="2"/>
      <c r="DP136" s="2"/>
      <c r="DQ136" s="2"/>
      <c r="DR136" s="2"/>
      <c r="DS136" s="2"/>
      <c r="DT136" s="2"/>
      <c r="DU136" s="2"/>
      <c r="DV136" s="10"/>
      <c r="DW136" s="2"/>
      <c r="DX136" s="2"/>
      <c r="EB136" s="212"/>
      <c r="EC136" s="212"/>
      <c r="ED136" s="212"/>
      <c r="EN136" s="318"/>
      <c r="EO136" s="137"/>
      <c r="EP136" s="318"/>
      <c r="EQ136" s="318"/>
    </row>
    <row r="137" spans="2:147" s="136" customFormat="1" ht="16.5" hidden="1">
      <c r="B137" s="53"/>
      <c r="C137" s="53"/>
      <c r="D137" s="26"/>
      <c r="E137" s="26"/>
      <c r="F137" s="26"/>
      <c r="G137" s="53"/>
      <c r="H137" s="132"/>
      <c r="I137" s="132"/>
      <c r="J137" s="53"/>
      <c r="K137" s="117"/>
      <c r="L137" s="117"/>
      <c r="M137" s="117"/>
      <c r="N137" s="537"/>
      <c r="O137" s="537"/>
      <c r="P137" s="537"/>
      <c r="Q137" s="537"/>
      <c r="R137" s="134"/>
      <c r="S137" s="133"/>
      <c r="T137" s="133"/>
      <c r="U137" s="133"/>
      <c r="V137" s="138"/>
      <c r="W137" s="138"/>
      <c r="X137" s="138"/>
      <c r="Y137" s="138"/>
      <c r="Z137" s="232" t="s">
        <v>103</v>
      </c>
      <c r="AA137" s="26">
        <f>IF(AA132="","",VLOOKUP(AA132,$B$31:$U$70,18,0))</f>
      </c>
      <c r="AB137" s="26">
        <f>IF(AB132="","",VLOOKUP(AB132,$B$31:$U$70,18,0))</f>
        <v>55</v>
      </c>
      <c r="AC137" s="26">
        <f>IF(AC132="","",VLOOKUP(AC132,$B$31:$U$70,18,0))</f>
        <v>55</v>
      </c>
      <c r="AF137" s="139">
        <f>VLOOKUP(AF132,$B$31:$U$70,18,0)</f>
        <v>58</v>
      </c>
      <c r="AG137" s="251"/>
      <c r="AH137" s="255">
        <f>IF(AH132="","",VLOOKUP(AH132,$B$31:$U$70,18,0))</f>
        <v>57</v>
      </c>
      <c r="AI137" s="139">
        <f>VLOOKUP(AI132,$B$31:$U$70,18,0)</f>
        <v>57</v>
      </c>
      <c r="AP137" s="27"/>
      <c r="AQ137" s="27"/>
      <c r="AR137" s="27"/>
      <c r="AX137" s="140"/>
      <c r="AY137" s="140"/>
      <c r="AZ137" s="140"/>
      <c r="BA137" s="140"/>
      <c r="BB137" s="140"/>
      <c r="BW137" s="7"/>
      <c r="BX137" s="7"/>
      <c r="BY137" s="20"/>
      <c r="BZ137" s="2"/>
      <c r="CA137" s="181"/>
      <c r="CB137" s="2"/>
      <c r="CC137" s="2"/>
      <c r="CD137" s="181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>
        <f t="shared" si="175"/>
      </c>
      <c r="CR137" s="2">
        <f t="shared" si="124"/>
      </c>
      <c r="CS137" s="128"/>
      <c r="CT137" s="2"/>
      <c r="CU137" s="2"/>
      <c r="CV137" s="128"/>
      <c r="CW137" s="2"/>
      <c r="CX137" s="2"/>
      <c r="CY137" s="128"/>
      <c r="CZ137" s="2">
        <f t="shared" si="182"/>
      </c>
      <c r="DA137" s="2">
        <f t="shared" si="183"/>
      </c>
      <c r="DB137" s="128">
        <f t="shared" si="184"/>
      </c>
      <c r="DC137" s="2">
        <f t="shared" si="185"/>
      </c>
      <c r="DD137" s="2">
        <f t="shared" si="186"/>
      </c>
      <c r="DE137" s="128">
        <f t="shared" si="187"/>
      </c>
      <c r="DF137" s="2"/>
      <c r="DG137" s="2"/>
      <c r="DH137" s="128"/>
      <c r="DI137" s="2">
        <f t="shared" si="188"/>
      </c>
      <c r="DJ137" s="2">
        <f t="shared" si="189"/>
      </c>
      <c r="DK137" s="128">
        <f t="shared" si="203"/>
      </c>
      <c r="DL137" s="128"/>
      <c r="DM137" s="21"/>
      <c r="DN137" s="2"/>
      <c r="DO137" s="2"/>
      <c r="DP137" s="2"/>
      <c r="DQ137" s="2"/>
      <c r="DR137" s="2"/>
      <c r="DS137" s="2"/>
      <c r="DT137" s="2"/>
      <c r="DU137" s="2"/>
      <c r="DV137" s="10"/>
      <c r="DW137" s="2"/>
      <c r="DX137" s="2"/>
      <c r="EB137" s="212"/>
      <c r="EC137" s="212"/>
      <c r="ED137" s="212"/>
      <c r="EN137" s="318"/>
      <c r="EO137" s="137"/>
      <c r="EP137" s="318"/>
      <c r="EQ137" s="318"/>
    </row>
    <row r="138" spans="2:147" s="136" customFormat="1" ht="16.5" hidden="1">
      <c r="B138" s="53"/>
      <c r="C138" s="53"/>
      <c r="D138" s="26"/>
      <c r="E138" s="26"/>
      <c r="F138" s="26"/>
      <c r="G138" s="53"/>
      <c r="H138" s="132"/>
      <c r="I138" s="132"/>
      <c r="J138" s="53"/>
      <c r="K138" s="117"/>
      <c r="L138" s="117"/>
      <c r="M138" s="117"/>
      <c r="N138" s="537"/>
      <c r="O138" s="537"/>
      <c r="P138" s="537"/>
      <c r="Q138" s="537"/>
      <c r="R138" s="134"/>
      <c r="S138" s="133"/>
      <c r="T138" s="133"/>
      <c r="U138" s="133"/>
      <c r="V138" s="138"/>
      <c r="W138" s="138"/>
      <c r="X138" s="138"/>
      <c r="Y138" s="138"/>
      <c r="Z138" s="232" t="s">
        <v>104</v>
      </c>
      <c r="AA138" s="26">
        <f>IF(AA132="","",VLOOKUP(AA132,$B$31:$U$70,19,0))</f>
      </c>
      <c r="AB138" s="26">
        <f>IF(AB132="","",VLOOKUP(AB132,$B$31:$U$70,19,0))</f>
        <v>25</v>
      </c>
      <c r="AC138" s="26">
        <f>IF(AC132="","",VLOOKUP(AC132,$B$31:$U$70,19,0))</f>
        <v>25</v>
      </c>
      <c r="AF138" s="139">
        <f>VLOOKUP(AF132,$B$31:$U$70,19,0)</f>
        <v>28</v>
      </c>
      <c r="AG138" s="251"/>
      <c r="AH138" s="255">
        <f>IF(AH132="","",VLOOKUP(AH132,$B$31:$U$70,19,0))</f>
        <v>27</v>
      </c>
      <c r="AI138" s="139">
        <f>VLOOKUP(AI132,$B$31:$U$70,19,0)</f>
        <v>27</v>
      </c>
      <c r="AP138" s="27"/>
      <c r="AQ138" s="27"/>
      <c r="AR138" s="27"/>
      <c r="AX138" s="140"/>
      <c r="AY138" s="140"/>
      <c r="AZ138" s="140"/>
      <c r="BA138" s="140"/>
      <c r="BB138" s="140"/>
      <c r="BW138" s="7"/>
      <c r="BX138" s="7"/>
      <c r="BY138" s="20"/>
      <c r="BZ138" s="2"/>
      <c r="CA138" s="181"/>
      <c r="CB138" s="2"/>
      <c r="CC138" s="2"/>
      <c r="CD138" s="181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>
        <f t="shared" si="175"/>
      </c>
      <c r="CR138" s="2">
        <f t="shared" si="124"/>
      </c>
      <c r="CS138" s="128"/>
      <c r="CT138" s="2"/>
      <c r="CU138" s="2"/>
      <c r="CV138" s="128"/>
      <c r="CW138" s="2"/>
      <c r="CX138" s="2"/>
      <c r="CY138" s="128"/>
      <c r="CZ138" s="2">
        <f t="shared" si="182"/>
      </c>
      <c r="DA138" s="2">
        <f t="shared" si="183"/>
      </c>
      <c r="DB138" s="128">
        <f t="shared" si="184"/>
      </c>
      <c r="DC138" s="2">
        <f t="shared" si="185"/>
      </c>
      <c r="DD138" s="2">
        <f t="shared" si="186"/>
      </c>
      <c r="DE138" s="128">
        <f t="shared" si="187"/>
      </c>
      <c r="DF138" s="2"/>
      <c r="DG138" s="2"/>
      <c r="DH138" s="128"/>
      <c r="DI138" s="2">
        <f t="shared" si="188"/>
      </c>
      <c r="DJ138" s="2">
        <f t="shared" si="189"/>
      </c>
      <c r="DK138" s="128">
        <f t="shared" si="203"/>
      </c>
      <c r="DL138" s="128"/>
      <c r="DM138" s="21"/>
      <c r="DN138" s="2"/>
      <c r="DO138" s="2"/>
      <c r="DP138" s="2"/>
      <c r="DQ138" s="2"/>
      <c r="DR138" s="2"/>
      <c r="DS138" s="2"/>
      <c r="DT138" s="2"/>
      <c r="DU138" s="2"/>
      <c r="DV138" s="10"/>
      <c r="DW138" s="2"/>
      <c r="DX138" s="2"/>
      <c r="EB138" s="212"/>
      <c r="EC138" s="212"/>
      <c r="ED138" s="212"/>
      <c r="EN138" s="318"/>
      <c r="EO138" s="137"/>
      <c r="EP138" s="318"/>
      <c r="EQ138" s="318"/>
    </row>
    <row r="139" spans="2:147" s="136" customFormat="1" ht="16.5" hidden="1">
      <c r="B139" s="53"/>
      <c r="C139" s="53"/>
      <c r="D139" s="26"/>
      <c r="E139" s="26"/>
      <c r="F139" s="26"/>
      <c r="G139" s="53"/>
      <c r="H139" s="132"/>
      <c r="I139" s="132"/>
      <c r="J139" s="53"/>
      <c r="K139" s="117"/>
      <c r="L139" s="117"/>
      <c r="M139" s="117"/>
      <c r="N139" s="537"/>
      <c r="O139" s="537"/>
      <c r="P139" s="537"/>
      <c r="Q139" s="537"/>
      <c r="R139" s="134"/>
      <c r="S139" s="133"/>
      <c r="T139" s="133"/>
      <c r="U139" s="133"/>
      <c r="V139" s="138"/>
      <c r="W139" s="138"/>
      <c r="X139" s="138"/>
      <c r="Y139" s="138"/>
      <c r="Z139" s="233" t="s">
        <v>105</v>
      </c>
      <c r="AA139" s="230" t="str">
        <f>IF(AA132="","無符合年度",IF(AND(AA137&gt;50,AA138&gt;25),AA135,IF(AND(AA137=50,AA138&gt;25),AA133,IF(AND(AA137&gt;50,AA138=25),AA134,IF(AND(AA137=50,AA138=25),AA136,"")))))</f>
        <v>無符合年度</v>
      </c>
      <c r="AB139" s="230" t="str">
        <f>IF(AB132="","無符合年度",IF(AND(AB137&gt;50,AB138&gt;25),AB135,IF(AND(AB137=50,AB138&gt;25),AB133,IF(AND(AB137&gt;50,AB138=25),AB134,IF(AND(AB137=50,AB138=25),AB136,"")))))</f>
        <v>113.9.28</v>
      </c>
      <c r="AC139" s="230" t="str">
        <f>IF(AC132="","無符合年度",IF(AND(AC137&gt;53,AC138&gt;25),AC135,IF(AND(AC137=53,AC138&gt;25),AC133,IF(AND(AC137&gt;53,AC138=25),AC134,IF(AND(AC137=53,AC138=25),AC136,"")))))</f>
        <v>113.9.28</v>
      </c>
      <c r="AF139" s="139" t="str">
        <f>IF(AND(AF137=58,AF138=15),AF136,IF(AND(AF137=58,AF138&gt;15),AF133,IF(AND(AF137&gt;58,AF138=15),AF134,IF(AND(AF137&gt;58,AF138&gt;15),AF135,""))))</f>
        <v>116.2.5</v>
      </c>
      <c r="AG139" s="251"/>
      <c r="AH139" s="259"/>
      <c r="AI139" s="139" t="str">
        <f>IF(AND(AI137=55,AI138=25),AI136,IF(AND(AI137=55,AI138&gt;25),AI133,IF(AND(AI137&gt;55,AI138=25),AI134,IF(AND(AI137&gt;55,AI138&gt;25),AI135,""))))</f>
        <v>115.2.5</v>
      </c>
      <c r="AP139" s="27"/>
      <c r="AQ139" s="27"/>
      <c r="AR139" s="27"/>
      <c r="AX139" s="140"/>
      <c r="AY139" s="140"/>
      <c r="AZ139" s="140"/>
      <c r="BA139" s="140"/>
      <c r="BB139" s="140"/>
      <c r="BW139" s="7"/>
      <c r="BX139" s="7"/>
      <c r="BY139" s="20"/>
      <c r="BZ139" s="2"/>
      <c r="CA139" s="181"/>
      <c r="CB139" s="2"/>
      <c r="CC139" s="2"/>
      <c r="CD139" s="181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>
        <f t="shared" si="175"/>
      </c>
      <c r="CR139" s="2">
        <f t="shared" si="124"/>
      </c>
      <c r="CS139" s="128"/>
      <c r="CT139" s="2"/>
      <c r="CU139" s="2"/>
      <c r="CV139" s="128"/>
      <c r="CW139" s="2"/>
      <c r="CX139" s="2"/>
      <c r="CY139" s="128"/>
      <c r="CZ139" s="2">
        <f t="shared" si="182"/>
      </c>
      <c r="DA139" s="2">
        <f t="shared" si="183"/>
      </c>
      <c r="DB139" s="128">
        <f t="shared" si="184"/>
      </c>
      <c r="DC139" s="2">
        <f t="shared" si="185"/>
      </c>
      <c r="DD139" s="2">
        <f t="shared" si="186"/>
      </c>
      <c r="DE139" s="128">
        <f t="shared" si="187"/>
      </c>
      <c r="DF139" s="2"/>
      <c r="DG139" s="2"/>
      <c r="DH139" s="128"/>
      <c r="DI139" s="2">
        <f t="shared" si="188"/>
      </c>
      <c r="DJ139" s="2">
        <f t="shared" si="189"/>
      </c>
      <c r="DK139" s="128">
        <f t="shared" si="203"/>
      </c>
      <c r="DL139" s="128"/>
      <c r="DM139" s="21"/>
      <c r="DN139" s="2"/>
      <c r="DO139" s="2"/>
      <c r="DP139" s="2"/>
      <c r="DQ139" s="2"/>
      <c r="DR139" s="2"/>
      <c r="DS139" s="2"/>
      <c r="DT139" s="2"/>
      <c r="DU139" s="2"/>
      <c r="DV139" s="10"/>
      <c r="DW139" s="2"/>
      <c r="DX139" s="2"/>
      <c r="EB139" s="212"/>
      <c r="EC139" s="212"/>
      <c r="ED139" s="212"/>
      <c r="EN139" s="318"/>
      <c r="EO139" s="137"/>
      <c r="EP139" s="318"/>
      <c r="EQ139" s="318"/>
    </row>
    <row r="140" spans="2:147" s="136" customFormat="1" ht="16.5" hidden="1">
      <c r="B140" s="53"/>
      <c r="C140" s="53"/>
      <c r="D140" s="26"/>
      <c r="E140" s="26"/>
      <c r="F140" s="26"/>
      <c r="G140" s="53"/>
      <c r="H140" s="132"/>
      <c r="I140" s="132"/>
      <c r="J140" s="53"/>
      <c r="K140" s="117"/>
      <c r="L140" s="117"/>
      <c r="M140" s="117"/>
      <c r="N140" s="537"/>
      <c r="O140" s="537"/>
      <c r="P140" s="537"/>
      <c r="Q140" s="537"/>
      <c r="R140" s="134"/>
      <c r="S140" s="133"/>
      <c r="T140" s="133"/>
      <c r="U140" s="133"/>
      <c r="V140" s="138"/>
      <c r="W140" s="138"/>
      <c r="X140" s="138"/>
      <c r="Y140" s="138"/>
      <c r="Z140" s="233" t="s">
        <v>106</v>
      </c>
      <c r="AA140" s="230" t="str">
        <f>IF(AA132="","無符合年度",AA132&amp;".1.1")</f>
        <v>無符合年度</v>
      </c>
      <c r="AB140" s="230" t="str">
        <f>IF(AB132="","無符合年度",AB132&amp;".1.1")</f>
        <v>113.1.1</v>
      </c>
      <c r="AC140" s="230" t="str">
        <f>IF(AC132="","無符合年度",AC132&amp;".1.1")</f>
        <v>113.1.1</v>
      </c>
      <c r="AF140" s="139"/>
      <c r="AG140" s="251"/>
      <c r="AH140" s="259"/>
      <c r="AI140" s="139"/>
      <c r="AP140" s="27"/>
      <c r="AQ140" s="27"/>
      <c r="AR140" s="27"/>
      <c r="AX140" s="140"/>
      <c r="AY140" s="140"/>
      <c r="AZ140" s="140"/>
      <c r="BA140" s="140"/>
      <c r="BB140" s="140"/>
      <c r="BW140" s="7"/>
      <c r="BX140" s="7"/>
      <c r="BY140" s="20"/>
      <c r="BZ140" s="2"/>
      <c r="CA140" s="181"/>
      <c r="CB140" s="2"/>
      <c r="CC140" s="2"/>
      <c r="CD140" s="181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>
        <f t="shared" si="175"/>
      </c>
      <c r="CR140" s="2">
        <f t="shared" si="124"/>
      </c>
      <c r="CS140" s="128"/>
      <c r="CT140" s="2"/>
      <c r="CU140" s="2"/>
      <c r="CV140" s="128"/>
      <c r="CW140" s="2"/>
      <c r="CX140" s="2"/>
      <c r="CY140" s="128"/>
      <c r="CZ140" s="2">
        <f t="shared" si="182"/>
      </c>
      <c r="DA140" s="2">
        <f t="shared" si="183"/>
      </c>
      <c r="DB140" s="128">
        <f t="shared" si="184"/>
      </c>
      <c r="DC140" s="2">
        <f t="shared" si="185"/>
      </c>
      <c r="DD140" s="2">
        <f t="shared" si="186"/>
      </c>
      <c r="DE140" s="128">
        <f t="shared" si="187"/>
      </c>
      <c r="DF140" s="2"/>
      <c r="DG140" s="2"/>
      <c r="DH140" s="128"/>
      <c r="DI140" s="2">
        <f t="shared" si="188"/>
      </c>
      <c r="DJ140" s="2">
        <f t="shared" si="189"/>
      </c>
      <c r="DK140" s="128">
        <f t="shared" si="203"/>
      </c>
      <c r="DL140" s="128"/>
      <c r="DM140" s="21"/>
      <c r="DN140" s="2"/>
      <c r="DO140" s="2"/>
      <c r="DP140" s="2"/>
      <c r="DQ140" s="2"/>
      <c r="DR140" s="2"/>
      <c r="DS140" s="2"/>
      <c r="DT140" s="2"/>
      <c r="DU140" s="2"/>
      <c r="DV140" s="10"/>
      <c r="DW140" s="2"/>
      <c r="DX140" s="2"/>
      <c r="EB140" s="212"/>
      <c r="EC140" s="212"/>
      <c r="ED140" s="212"/>
      <c r="EN140" s="318"/>
      <c r="EO140" s="137"/>
      <c r="EP140" s="318"/>
      <c r="EQ140" s="318"/>
    </row>
    <row r="141" spans="2:147" s="136" customFormat="1" ht="16.5" hidden="1">
      <c r="B141" s="53"/>
      <c r="C141" s="53"/>
      <c r="D141" s="26"/>
      <c r="E141" s="26"/>
      <c r="F141" s="26"/>
      <c r="G141" s="53"/>
      <c r="H141" s="132"/>
      <c r="I141" s="132"/>
      <c r="J141" s="53"/>
      <c r="K141" s="117"/>
      <c r="L141" s="117"/>
      <c r="M141" s="117"/>
      <c r="N141" s="537"/>
      <c r="O141" s="537"/>
      <c r="P141" s="537"/>
      <c r="Q141" s="537"/>
      <c r="R141" s="134"/>
      <c r="S141" s="133"/>
      <c r="T141" s="133"/>
      <c r="U141" s="133"/>
      <c r="V141" s="138"/>
      <c r="W141" s="138"/>
      <c r="X141" s="138"/>
      <c r="Y141" s="138"/>
      <c r="Z141" s="233" t="s">
        <v>107</v>
      </c>
      <c r="AA141" s="230">
        <f>IF(AA131=0,"",IF(AND(AA137&gt;50,AA138&gt;25),AA140,AA139))</f>
      </c>
      <c r="AB141" s="230" t="str">
        <f>IF(AB131=0,"",IF(AND(AB137&gt;50,AB138&gt;25),AB140,AB139))</f>
        <v>113.9.28</v>
      </c>
      <c r="AC141" s="230" t="str">
        <f>IF(AC132="","",IF(AND(AC137&gt;53,AC138&gt;25),AC140,AC139))</f>
        <v>113.9.28</v>
      </c>
      <c r="AF141" s="139"/>
      <c r="AG141" s="251"/>
      <c r="AH141" s="259"/>
      <c r="AI141" s="139"/>
      <c r="AP141" s="27"/>
      <c r="AQ141" s="27"/>
      <c r="AR141" s="27"/>
      <c r="AX141" s="140"/>
      <c r="AY141" s="140"/>
      <c r="AZ141" s="140"/>
      <c r="BA141" s="140"/>
      <c r="BB141" s="140"/>
      <c r="BW141" s="7"/>
      <c r="BX141" s="7"/>
      <c r="BY141" s="20"/>
      <c r="BZ141" s="2"/>
      <c r="CA141" s="181"/>
      <c r="CB141" s="2"/>
      <c r="CC141" s="2"/>
      <c r="CD141" s="181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>
        <f t="shared" si="175"/>
      </c>
      <c r="CR141" s="2">
        <f t="shared" si="124"/>
      </c>
      <c r="CS141" s="128"/>
      <c r="CT141" s="2"/>
      <c r="CU141" s="2"/>
      <c r="CV141" s="128"/>
      <c r="CW141" s="2"/>
      <c r="CX141" s="2"/>
      <c r="CY141" s="128"/>
      <c r="CZ141" s="2">
        <f t="shared" si="182"/>
      </c>
      <c r="DA141" s="2">
        <f t="shared" si="183"/>
      </c>
      <c r="DB141" s="128">
        <f t="shared" si="184"/>
      </c>
      <c r="DC141" s="2">
        <f t="shared" si="185"/>
      </c>
      <c r="DD141" s="2">
        <f t="shared" si="186"/>
      </c>
      <c r="DE141" s="128">
        <f t="shared" si="187"/>
      </c>
      <c r="DF141" s="2"/>
      <c r="DG141" s="2"/>
      <c r="DH141" s="128"/>
      <c r="DI141" s="2">
        <f t="shared" si="188"/>
      </c>
      <c r="DJ141" s="2">
        <f t="shared" si="189"/>
      </c>
      <c r="DK141" s="128">
        <f t="shared" si="203"/>
      </c>
      <c r="DL141" s="128"/>
      <c r="DM141" s="21"/>
      <c r="DN141" s="2"/>
      <c r="DO141" s="2"/>
      <c r="DP141" s="2"/>
      <c r="DQ141" s="2"/>
      <c r="DR141" s="2"/>
      <c r="DS141" s="2"/>
      <c r="DT141" s="2"/>
      <c r="DU141" s="2"/>
      <c r="DV141" s="10"/>
      <c r="DW141" s="2"/>
      <c r="DX141" s="2"/>
      <c r="EB141" s="212"/>
      <c r="EC141" s="212"/>
      <c r="ED141" s="212"/>
      <c r="EN141" s="318"/>
      <c r="EO141" s="137"/>
      <c r="EP141" s="318"/>
      <c r="EQ141" s="318"/>
    </row>
    <row r="142" spans="2:147" s="136" customFormat="1" ht="16.5" hidden="1">
      <c r="B142" s="53"/>
      <c r="C142" s="53"/>
      <c r="D142" s="26"/>
      <c r="E142" s="26"/>
      <c r="F142" s="26"/>
      <c r="G142" s="53"/>
      <c r="H142" s="132"/>
      <c r="I142" s="132"/>
      <c r="J142" s="53"/>
      <c r="K142" s="117"/>
      <c r="L142" s="117"/>
      <c r="M142" s="117"/>
      <c r="N142" s="537"/>
      <c r="O142" s="537"/>
      <c r="P142" s="537"/>
      <c r="Q142" s="537"/>
      <c r="R142" s="134"/>
      <c r="S142" s="133"/>
      <c r="T142" s="133"/>
      <c r="U142" s="133"/>
      <c r="V142" s="138"/>
      <c r="W142" s="138"/>
      <c r="X142" s="138"/>
      <c r="Y142" s="138"/>
      <c r="Z142" s="233" t="s">
        <v>108</v>
      </c>
      <c r="AA142" s="236"/>
      <c r="AB142" s="236"/>
      <c r="AC142" s="237" t="str">
        <f>IF(AC132="","",INDEX(AC31:AC113,AC131)*-100&amp;"%")</f>
        <v>12%</v>
      </c>
      <c r="AF142" s="139"/>
      <c r="AG142" s="251"/>
      <c r="AH142" s="259"/>
      <c r="AI142" s="139"/>
      <c r="AP142" s="27"/>
      <c r="AQ142" s="27"/>
      <c r="AR142" s="27"/>
      <c r="AX142" s="140"/>
      <c r="AY142" s="140"/>
      <c r="AZ142" s="140"/>
      <c r="BA142" s="140"/>
      <c r="BB142" s="140"/>
      <c r="BW142" s="7"/>
      <c r="BX142" s="7"/>
      <c r="BY142" s="20"/>
      <c r="BZ142" s="2"/>
      <c r="CA142" s="181"/>
      <c r="CB142" s="2"/>
      <c r="CC142" s="2"/>
      <c r="CD142" s="181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>
        <f t="shared" si="175"/>
      </c>
      <c r="CR142" s="2">
        <f t="shared" si="124"/>
      </c>
      <c r="CS142" s="128"/>
      <c r="CT142" s="2"/>
      <c r="CU142" s="2"/>
      <c r="CV142" s="128"/>
      <c r="CW142" s="2"/>
      <c r="CX142" s="2"/>
      <c r="CY142" s="128"/>
      <c r="CZ142" s="2">
        <f t="shared" si="182"/>
      </c>
      <c r="DA142" s="2">
        <f t="shared" si="183"/>
      </c>
      <c r="DB142" s="128">
        <f t="shared" si="184"/>
      </c>
      <c r="DC142" s="2">
        <f t="shared" si="185"/>
      </c>
      <c r="DD142" s="2">
        <f t="shared" si="186"/>
      </c>
      <c r="DE142" s="128">
        <f t="shared" si="187"/>
      </c>
      <c r="DF142" s="2"/>
      <c r="DG142" s="2"/>
      <c r="DH142" s="128"/>
      <c r="DI142" s="2">
        <f t="shared" si="188"/>
      </c>
      <c r="DJ142" s="2">
        <f t="shared" si="189"/>
      </c>
      <c r="DK142" s="128">
        <f t="shared" si="203"/>
      </c>
      <c r="DL142" s="128"/>
      <c r="DM142" s="21"/>
      <c r="DN142" s="2"/>
      <c r="DO142" s="2"/>
      <c r="DP142" s="2"/>
      <c r="DQ142" s="2"/>
      <c r="DR142" s="2"/>
      <c r="DS142" s="2"/>
      <c r="DT142" s="2"/>
      <c r="DU142" s="2"/>
      <c r="DV142" s="10"/>
      <c r="DW142" s="2"/>
      <c r="DX142" s="2"/>
      <c r="EB142" s="212"/>
      <c r="EC142" s="212"/>
      <c r="ED142" s="212"/>
      <c r="EN142" s="318"/>
      <c r="EO142" s="137"/>
      <c r="EP142" s="318"/>
      <c r="EQ142" s="318"/>
    </row>
    <row r="143" spans="2:147" s="136" customFormat="1" ht="16.5" hidden="1">
      <c r="B143" s="53"/>
      <c r="C143" s="53"/>
      <c r="D143" s="26"/>
      <c r="E143" s="26"/>
      <c r="F143" s="26"/>
      <c r="G143" s="53"/>
      <c r="H143" s="132"/>
      <c r="I143" s="132"/>
      <c r="J143" s="53"/>
      <c r="K143" s="117"/>
      <c r="L143" s="117"/>
      <c r="M143" s="117"/>
      <c r="N143" s="537"/>
      <c r="O143" s="537"/>
      <c r="P143" s="537"/>
      <c r="Q143" s="537"/>
      <c r="R143" s="134"/>
      <c r="S143" s="133"/>
      <c r="T143" s="133"/>
      <c r="U143" s="133"/>
      <c r="V143" s="138"/>
      <c r="W143" s="138"/>
      <c r="X143" s="138"/>
      <c r="Y143" s="138"/>
      <c r="Z143" s="138"/>
      <c r="AA143" s="236"/>
      <c r="AB143" s="236"/>
      <c r="AC143" s="236"/>
      <c r="AF143" s="139"/>
      <c r="AG143" s="251"/>
      <c r="AH143" s="259"/>
      <c r="AI143" s="139"/>
      <c r="AP143" s="27"/>
      <c r="AQ143" s="27"/>
      <c r="AR143" s="27"/>
      <c r="AX143" s="140"/>
      <c r="AY143" s="140"/>
      <c r="AZ143" s="140"/>
      <c r="BA143" s="140"/>
      <c r="BB143" s="140"/>
      <c r="BW143" s="7"/>
      <c r="BX143" s="7"/>
      <c r="BY143" s="20"/>
      <c r="BZ143" s="2"/>
      <c r="CA143" s="181"/>
      <c r="CB143" s="2"/>
      <c r="CC143" s="2"/>
      <c r="CD143" s="181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>
        <f t="shared" si="175"/>
      </c>
      <c r="CR143" s="2">
        <f t="shared" si="124"/>
      </c>
      <c r="CS143" s="128"/>
      <c r="CT143" s="2"/>
      <c r="CU143" s="2"/>
      <c r="CV143" s="128"/>
      <c r="CW143" s="2"/>
      <c r="CX143" s="2"/>
      <c r="CY143" s="128"/>
      <c r="CZ143" s="2">
        <f t="shared" si="182"/>
      </c>
      <c r="DA143" s="2">
        <f t="shared" si="183"/>
      </c>
      <c r="DB143" s="128">
        <f t="shared" si="184"/>
      </c>
      <c r="DC143" s="2">
        <f t="shared" si="185"/>
      </c>
      <c r="DD143" s="2">
        <f t="shared" si="186"/>
      </c>
      <c r="DE143" s="128">
        <f t="shared" si="187"/>
      </c>
      <c r="DF143" s="2"/>
      <c r="DG143" s="2"/>
      <c r="DH143" s="128"/>
      <c r="DI143" s="2">
        <f t="shared" si="188"/>
      </c>
      <c r="DJ143" s="2">
        <f t="shared" si="189"/>
      </c>
      <c r="DK143" s="128">
        <f t="shared" si="203"/>
      </c>
      <c r="DL143" s="128"/>
      <c r="DM143" s="21"/>
      <c r="DN143" s="2"/>
      <c r="DO143" s="2"/>
      <c r="DP143" s="2"/>
      <c r="DQ143" s="2"/>
      <c r="DR143" s="2"/>
      <c r="DS143" s="2"/>
      <c r="DT143" s="2"/>
      <c r="DU143" s="2"/>
      <c r="DV143" s="10"/>
      <c r="DW143" s="2"/>
      <c r="DX143" s="2"/>
      <c r="EB143" s="212"/>
      <c r="EC143" s="212"/>
      <c r="ED143" s="212"/>
      <c r="EN143" s="318"/>
      <c r="EO143" s="137"/>
      <c r="EP143" s="318"/>
      <c r="EQ143" s="318"/>
    </row>
    <row r="144" spans="2:147" s="136" customFormat="1" ht="16.5" hidden="1">
      <c r="B144" s="53"/>
      <c r="C144" s="53"/>
      <c r="D144" s="26"/>
      <c r="E144" s="26"/>
      <c r="F144" s="26"/>
      <c r="G144" s="53"/>
      <c r="H144" s="132"/>
      <c r="I144" s="132"/>
      <c r="J144" s="53"/>
      <c r="K144" s="117"/>
      <c r="L144" s="117"/>
      <c r="M144" s="117"/>
      <c r="N144" s="133"/>
      <c r="O144" s="133"/>
      <c r="P144" s="133"/>
      <c r="Q144" s="133"/>
      <c r="R144" s="134"/>
      <c r="S144" s="133"/>
      <c r="T144" s="133"/>
      <c r="U144" s="133"/>
      <c r="V144" s="138"/>
      <c r="W144" s="138"/>
      <c r="X144" s="138"/>
      <c r="Y144" s="138"/>
      <c r="Z144" s="233" t="s">
        <v>109</v>
      </c>
      <c r="AA144" s="230">
        <f>IF(AA131=0,"",MID($DM$5,1,7))</f>
      </c>
      <c r="AB144" s="283" t="str">
        <f>IF(AB131=0,"",MID($DM$5,1,7))</f>
        <v>116.8.1</v>
      </c>
      <c r="AC144" s="283" t="str">
        <f>IF(AC132="","",MID($DM$5,1,7))</f>
        <v>116.8.1</v>
      </c>
      <c r="AF144" s="139"/>
      <c r="AG144" s="251"/>
      <c r="AH144" s="259"/>
      <c r="AI144" s="139"/>
      <c r="AP144" s="27"/>
      <c r="AQ144" s="27"/>
      <c r="AR144" s="27"/>
      <c r="AX144" s="140"/>
      <c r="AY144" s="140"/>
      <c r="AZ144" s="140"/>
      <c r="BA144" s="140"/>
      <c r="BB144" s="140"/>
      <c r="BW144" s="7"/>
      <c r="BX144" s="7"/>
      <c r="BY144" s="20"/>
      <c r="BZ144" s="2"/>
      <c r="CA144" s="181"/>
      <c r="CB144" s="2"/>
      <c r="CC144" s="2"/>
      <c r="CD144" s="181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128"/>
      <c r="CT144" s="2"/>
      <c r="CU144" s="2"/>
      <c r="CV144" s="128"/>
      <c r="CW144" s="2"/>
      <c r="CX144" s="2"/>
      <c r="CY144" s="128"/>
      <c r="CZ144" s="2"/>
      <c r="DA144" s="2"/>
      <c r="DB144" s="128"/>
      <c r="DC144" s="2"/>
      <c r="DD144" s="2"/>
      <c r="DE144" s="128"/>
      <c r="DF144" s="2"/>
      <c r="DG144" s="2"/>
      <c r="DH144" s="128"/>
      <c r="DI144" s="2"/>
      <c r="DJ144" s="2"/>
      <c r="DK144" s="128"/>
      <c r="DL144" s="128"/>
      <c r="DM144" s="21"/>
      <c r="DN144" s="2"/>
      <c r="DO144" s="2"/>
      <c r="DP144" s="2"/>
      <c r="DQ144" s="2"/>
      <c r="DR144" s="2"/>
      <c r="DS144" s="2"/>
      <c r="DT144" s="2"/>
      <c r="DU144" s="2"/>
      <c r="DV144" s="10"/>
      <c r="DW144" s="2"/>
      <c r="DX144" s="2"/>
      <c r="EB144" s="212"/>
      <c r="EC144" s="212"/>
      <c r="ED144" s="212"/>
      <c r="EN144" s="318"/>
      <c r="EO144" s="137"/>
      <c r="EP144" s="318"/>
      <c r="EQ144" s="318"/>
    </row>
    <row r="145" spans="2:147" s="136" customFormat="1" ht="16.5" hidden="1">
      <c r="B145" s="53"/>
      <c r="C145" s="53"/>
      <c r="D145" s="26"/>
      <c r="E145" s="26"/>
      <c r="F145" s="26"/>
      <c r="G145" s="53"/>
      <c r="H145" s="132"/>
      <c r="I145" s="132"/>
      <c r="J145" s="53"/>
      <c r="K145" s="117"/>
      <c r="L145" s="117"/>
      <c r="M145" s="117"/>
      <c r="N145" s="537"/>
      <c r="O145" s="537"/>
      <c r="P145" s="537"/>
      <c r="Q145" s="537"/>
      <c r="R145" s="134"/>
      <c r="S145" s="133"/>
      <c r="T145" s="133"/>
      <c r="U145" s="133"/>
      <c r="V145" s="138"/>
      <c r="W145" s="138"/>
      <c r="X145" s="138"/>
      <c r="Y145" s="138"/>
      <c r="Z145" s="233" t="s">
        <v>115</v>
      </c>
      <c r="AA145" s="234">
        <f>IF(AA131=0,"",DATE(VALUE(LEFT($DM$5,3))+1911,MID($DM$5,5,1),MID($DM$5,7,1)))</f>
      </c>
      <c r="AB145" s="284">
        <f>IF(AB131=0,"",DATE(VALUE(LEFT($DM$5,3))+1911,MID($DM$5,5,1),MID($DM$5,7,1)))</f>
        <v>46600</v>
      </c>
      <c r="AC145" s="284">
        <f>IF(AC132="","",DATE(VALUE(LEFT($DM$5,3))+1911,MID($DM$5,5,1),MID($DM$5,7,1)))</f>
        <v>46600</v>
      </c>
      <c r="AF145" s="139"/>
      <c r="AG145" s="251"/>
      <c r="AH145" s="260"/>
      <c r="AI145" s="139"/>
      <c r="AP145" s="27"/>
      <c r="AQ145" s="27"/>
      <c r="AR145" s="27"/>
      <c r="AX145" s="140"/>
      <c r="AY145" s="140"/>
      <c r="AZ145" s="140"/>
      <c r="BA145" s="140"/>
      <c r="BB145" s="140"/>
      <c r="BW145" s="7"/>
      <c r="BX145" s="7"/>
      <c r="BY145" s="20"/>
      <c r="BZ145" s="2"/>
      <c r="CA145" s="181"/>
      <c r="CB145" s="2"/>
      <c r="CC145" s="2"/>
      <c r="CD145" s="181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>
        <f t="shared" si="175"/>
      </c>
      <c r="CR145" s="2">
        <f>IF(CP145="","",IF(CQ145="",IF(OR(AND(CP145&gt;7,OR(AND(CA145&gt;1,CA145&lt;=7),AND(CD145&gt;1,CD145&lt;=7))),AND(CP145&gt;7,OR(RIGHT(BZ145,4)=".8.1",RIGHT(CC145,4)=".8.1"))),BY145+1&amp;".8.1。【說明：原實際條件成就之日期為"&amp;CO145&amp;"，惟因須配合學期暨受次年度指標數增加之影響，而必須二次遞延至當學年度結束之次日，始能退休生效，爰推算為"&amp;BY145+1&amp;".8.1】",BY145+2&amp;".2.1。【說明：原實際條件成就之日期為"&amp;CO145&amp;"，惟因須配合學期暨受次年度指標數增加之影響，而必須三次遞延至次學年度第一學期結束之次日，始能退休生效，爰推算為"&amp;BY145+2&amp;".2.1】"),""))</f>
      </c>
      <c r="CS145" s="128"/>
      <c r="CT145" s="2"/>
      <c r="CU145" s="2"/>
      <c r="CV145" s="128"/>
      <c r="CW145" s="2"/>
      <c r="CX145" s="2"/>
      <c r="CY145" s="128"/>
      <c r="CZ145" s="2"/>
      <c r="DA145" s="2"/>
      <c r="DB145" s="128"/>
      <c r="DC145" s="2">
        <f aca="true" t="shared" si="204" ref="DC145:DC167">IF(AND(CM145=60,S145=60,T145=15),CK145,IF(AND(CM145=60,S145&gt;60,T145=15),CD145,IF(AND(CM145=60,S145=60,T145&gt;15),CA145,"")))</f>
      </c>
      <c r="DD145" s="2">
        <f aca="true" t="shared" si="205" ref="DD145:DD167">IF(AND(CM145=60,S145=60,T145=15),CJ145,IF(AND(CM145=60,S145&gt;60,T145=15),CC145,IF(AND(CM145=60,S145=60,T145&gt;15),BZ145,"")))</f>
      </c>
      <c r="DE145" s="128">
        <f>IF(DC145="","",IF(RIGHT(DD145,4)=".8.1",BY145&amp;".8.1",IF(RIGHT(DD145,4)=".2.1",BY145&amp;".2.1",IF(DC145=1,BY145&amp;".2.1。【說明：原實際條件成就時間為"&amp;DD145&amp;"，惟因必須配合學期而延至當學期結束之次日，始能退休生效，爰推算為"&amp;BY145&amp;".2.1】",IF(AND(DC145&lt;=7,DC145&gt;1),BY145&amp;".8.1。【說明：原實際條件成就時間為"&amp;DD145&amp;"，惟因必須配合學期而延至當學年度結束之次日，始能退休生效，爰推算為"&amp;BY145&amp;".8.1】",BY145+1&amp;".2.1。【說明：原實際條件成就時間為"&amp;DD145&amp;"，惟因必須配合學期而延至當學期結束之次日，始能退休生效，爰推算為"&amp;BY145+1&amp;".2.1】")))))</f>
      </c>
      <c r="DF145" s="2"/>
      <c r="DG145" s="2"/>
      <c r="DH145" s="128"/>
      <c r="DI145" s="2">
        <f aca="true" t="shared" si="206" ref="DI145:DI167">IF(CM145=65,CA145,"")</f>
      </c>
      <c r="DJ145" s="2">
        <f aca="true" t="shared" si="207" ref="DJ145:DJ167">IF(CM145=65,BZ145,"")</f>
      </c>
      <c r="DK145" s="128">
        <f t="shared" si="203"/>
      </c>
      <c r="DL145" s="128"/>
      <c r="DM145" s="21"/>
      <c r="DN145" s="2"/>
      <c r="DO145" s="2"/>
      <c r="DP145" s="2"/>
      <c r="DQ145" s="2"/>
      <c r="DR145" s="2"/>
      <c r="DS145" s="2"/>
      <c r="DT145" s="2"/>
      <c r="DU145" s="2"/>
      <c r="DV145" s="10"/>
      <c r="DW145" s="2"/>
      <c r="DX145" s="2"/>
      <c r="EB145" s="212"/>
      <c r="EC145" s="212"/>
      <c r="ED145" s="212"/>
      <c r="EN145" s="318"/>
      <c r="EO145" s="137"/>
      <c r="EP145" s="318"/>
      <c r="EQ145" s="318"/>
    </row>
    <row r="146" spans="2:147" s="136" customFormat="1" ht="16.5" hidden="1">
      <c r="B146" s="53"/>
      <c r="C146" s="53"/>
      <c r="D146" s="26"/>
      <c r="E146" s="26"/>
      <c r="F146" s="26"/>
      <c r="G146" s="53"/>
      <c r="H146" s="132"/>
      <c r="I146" s="132"/>
      <c r="J146" s="53"/>
      <c r="K146" s="117"/>
      <c r="L146" s="117"/>
      <c r="M146" s="117"/>
      <c r="N146" s="537"/>
      <c r="O146" s="537"/>
      <c r="P146" s="537"/>
      <c r="Q146" s="537"/>
      <c r="R146" s="134"/>
      <c r="S146" s="133"/>
      <c r="T146" s="133"/>
      <c r="U146" s="133"/>
      <c r="V146" s="138"/>
      <c r="W146" s="138"/>
      <c r="X146" s="138"/>
      <c r="Y146" s="138"/>
      <c r="Z146" s="233" t="s">
        <v>110</v>
      </c>
      <c r="AA146" s="234">
        <f>IF(AA131=0,"",IF(AA141=AA133,DATE(AA132+1911,$U$7,$W$7),IF(AA141=AA134,DATE(AA132+1911,$AB$9,$AC$9),IF(AA141=AA132&amp;".1.1",DATE(AA132+1911,1,1),""))))</f>
      </c>
      <c r="AB146" s="284">
        <f>IF(AB131=0,"",IF(AB141=AB133,DATE(AB132+1911,$U$7,$W$7),IF(AB141=AB134,DATE(AB132+1911,$AB$9,$AC$9),IF(AB141=AB132&amp;".1.1",DATE(AB132+1911,1,1),""))))</f>
        <v>45563</v>
      </c>
      <c r="AC146" s="284">
        <f>IF(AC132="","",IF(AC141=AC133,DATE(AC132+1911,$U$7,$W$7),IF(AC141=AC134,DATE(AC132+1911,$AB$9,$AC$9),IF(AC141=AC132&amp;".1.1",DATE(AC132+1911,1,1),""))))</f>
        <v>45563</v>
      </c>
      <c r="AF146" s="279">
        <f>IF(AF139=AF133,DATE(AF132+1911,U7,W7),DATE(AF132+1911,AB9,AC9))</f>
        <v>46423</v>
      </c>
      <c r="AG146" s="251"/>
      <c r="AH146" s="259"/>
      <c r="AI146" s="279">
        <f>IF(AI139=AI133,DATE(AI132+1911,U7,W7),DATE(AI132+1911,AB9,AC9))</f>
        <v>46058</v>
      </c>
      <c r="AP146" s="27"/>
      <c r="AQ146" s="27"/>
      <c r="AR146" s="27"/>
      <c r="AX146" s="140"/>
      <c r="AY146" s="140"/>
      <c r="AZ146" s="140"/>
      <c r="BA146" s="140"/>
      <c r="BB146" s="140"/>
      <c r="BW146" s="7"/>
      <c r="BX146" s="7"/>
      <c r="BY146" s="20"/>
      <c r="BZ146" s="2"/>
      <c r="CA146" s="181"/>
      <c r="CB146" s="2"/>
      <c r="CC146" s="2"/>
      <c r="CD146" s="181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>
        <f t="shared" si="175"/>
      </c>
      <c r="CR146" s="2">
        <f>IF(CP146="","",IF(CQ146="",IF(OR(AND(CP146&gt;7,OR(AND(CA146&gt;1,CA146&lt;=7),AND(CD146&gt;1,CD146&lt;=7))),AND(CP146&gt;7,OR(RIGHT(BZ146,4)=".8.1",RIGHT(CC146,4)=".8.1"))),BY146+1&amp;".8.1。【說明：原實際條件成就之日期為"&amp;CO146&amp;"，惟因須配合學期暨受次年度指標數增加之影響，而必須二次遞延至當學年度結束之次日，始能退休生效，爰推算為"&amp;BY146+1&amp;".8.1】",BY146+2&amp;".2.1。【說明：原實際條件成就之日期為"&amp;CO146&amp;"，惟因須配合學期暨受次年度指標數增加之影響，而必須三次遞延至次學年度第一學期結束之次日，始能退休生效，爰推算為"&amp;BY146+2&amp;".2.1】"),""))</f>
      </c>
      <c r="CS146" s="128"/>
      <c r="CT146" s="2"/>
      <c r="CU146" s="2"/>
      <c r="CV146" s="128"/>
      <c r="CW146" s="2"/>
      <c r="CX146" s="2"/>
      <c r="CY146" s="128"/>
      <c r="CZ146" s="2"/>
      <c r="DA146" s="2"/>
      <c r="DB146" s="128"/>
      <c r="DC146" s="2">
        <f t="shared" si="204"/>
      </c>
      <c r="DD146" s="2">
        <f t="shared" si="205"/>
      </c>
      <c r="DE146" s="128">
        <f>IF(DC146="","",IF(RIGHT(DD146,4)=".8.1",BY146&amp;".8.1",IF(RIGHT(DD146,4)=".2.1",BY146&amp;".2.1",IF(DC146=1,BY146&amp;".2.1。【說明：原實際條件成就時間為"&amp;DD146&amp;"，惟因必須配合學期而延至當學期結束之次日，始能退休生效，爰推算為"&amp;BY146&amp;".2.1】",IF(AND(DC146&lt;=7,DC146&gt;1),BY146&amp;".8.1。【說明：原實際條件成就時間為"&amp;DD146&amp;"，惟因必須配合學期而延至當學年度結束之次日，始能退休生效，爰推算為"&amp;BY146&amp;".8.1】",BY146+1&amp;".2.1。【說明：原實際條件成就時間為"&amp;DD146&amp;"，惟因必須配合學期而延至當學期結束之次日，始能退休生效，爰推算為"&amp;BY146+1&amp;".2.1】")))))</f>
      </c>
      <c r="DF146" s="2"/>
      <c r="DG146" s="2"/>
      <c r="DH146" s="128"/>
      <c r="DI146" s="2">
        <f t="shared" si="206"/>
      </c>
      <c r="DJ146" s="2">
        <f t="shared" si="207"/>
      </c>
      <c r="DK146" s="128">
        <f t="shared" si="203"/>
      </c>
      <c r="DL146" s="128"/>
      <c r="DM146" s="21"/>
      <c r="DN146" s="2"/>
      <c r="DO146" s="2"/>
      <c r="DP146" s="2"/>
      <c r="DQ146" s="2"/>
      <c r="DR146" s="2"/>
      <c r="DS146" s="2"/>
      <c r="DT146" s="2"/>
      <c r="DU146" s="2"/>
      <c r="DV146" s="10"/>
      <c r="DW146" s="2"/>
      <c r="DX146" s="2"/>
      <c r="EB146" s="212"/>
      <c r="EC146" s="212"/>
      <c r="ED146" s="212"/>
      <c r="EN146" s="318"/>
      <c r="EO146" s="137"/>
      <c r="EP146" s="318"/>
      <c r="EQ146" s="318"/>
    </row>
    <row r="147" spans="2:147" s="136" customFormat="1" ht="16.5" hidden="1">
      <c r="B147" s="53"/>
      <c r="C147" s="53"/>
      <c r="D147" s="26"/>
      <c r="E147" s="26"/>
      <c r="F147" s="26"/>
      <c r="G147" s="53"/>
      <c r="H147" s="132"/>
      <c r="I147" s="132"/>
      <c r="J147" s="53"/>
      <c r="K147" s="117"/>
      <c r="L147" s="117"/>
      <c r="M147" s="117"/>
      <c r="N147" s="537"/>
      <c r="O147" s="537"/>
      <c r="P147" s="537"/>
      <c r="Q147" s="537"/>
      <c r="R147" s="134"/>
      <c r="S147" s="133"/>
      <c r="T147" s="133"/>
      <c r="U147" s="133"/>
      <c r="V147" s="138"/>
      <c r="W147" s="138"/>
      <c r="X147" s="138"/>
      <c r="Y147" s="138"/>
      <c r="Z147" s="233" t="s">
        <v>118</v>
      </c>
      <c r="AA147" s="245">
        <f>IF(AA131=0,"",IF(AA141=AA133,AA132&amp;"."&amp;$U$7&amp;"."&amp;$W$7,IF(AA141=AA134,AA132&amp;"."&amp;$AB$9&amp;"."&amp;$AC$9,IF(AA141=AA132&amp;".1.1",AA132&amp;"."&amp;".1.1,"""))))</f>
      </c>
      <c r="AB147" s="285" t="str">
        <f>IF(AB131=0,"",IF(AB141=AB133,AB132&amp;"."&amp;$U$7&amp;"."&amp;$W$7,IF(AB141=AB134,AB132&amp;"."&amp;$AB$9&amp;"."&amp;$AC$9,IF(AB141=AB132&amp;".1.1",AB132&amp;"."&amp;".1.1,"""))))</f>
        <v>113.9.28</v>
      </c>
      <c r="AC147" s="285" t="str">
        <f>IF(AC131=0,"",IF(AC141=AC133,AC132&amp;"."&amp;$U$7&amp;"."&amp;$W$7,IF(AC141=AC134,AC132&amp;"."&amp;$AB$9&amp;"."&amp;$AC$9,IF(AC141=AC132&amp;".1.1",AC132&amp;"."&amp;".1.1,"""))))</f>
        <v>113.9.28</v>
      </c>
      <c r="AF147" s="278" t="s">
        <v>138</v>
      </c>
      <c r="AG147" s="252" t="str">
        <f>IF(AA146&gt;=AB146,AB147,AA147)</f>
        <v>113.9.28</v>
      </c>
      <c r="AH147" s="259"/>
      <c r="AP147" s="27"/>
      <c r="AQ147" s="27"/>
      <c r="AR147" s="27"/>
      <c r="AX147" s="140"/>
      <c r="AY147" s="140"/>
      <c r="AZ147" s="140"/>
      <c r="BA147" s="140"/>
      <c r="BB147" s="140"/>
      <c r="BW147" s="7"/>
      <c r="BX147" s="7"/>
      <c r="BY147" s="20"/>
      <c r="BZ147" s="2"/>
      <c r="CA147" s="181"/>
      <c r="CB147" s="2"/>
      <c r="CC147" s="2"/>
      <c r="CD147" s="181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>
        <f>IF(CP147="","",IF(CP147=1,BY147&amp;".2.1。【說明：原實際條件成就之日期為"&amp;CO147&amp;"，惟因須配合學期而延至當學期結束之次日，始能退休生效，爰推算為"&amp;BY147&amp;".2.1】",IF(AND(CP147&lt;=7,CP147&gt;1),BY147&amp;".8.1。【說明：原實際條件成就之日期為"&amp;CO147&amp;"，惟因須配合學期而延至當學年度結束之次日，始能退休生效，爰推算為"&amp;BY147&amp;".8.1】",IF(OR(AND(CP147&gt;7,OR(CA147=1,CD147=1)),AND(CP147&gt;7,OR(RIGHT(BZ147,4)=".2.1",RIGHT(CC147,4)=".2.1"))),BY147+1&amp;".2.1。【說明：原實際條件成就之日期為"&amp;CO147&amp;"，惟因須配合學期而延至當學期結束之次日，始能退休生效，爰推算為"&amp;BY147+1&amp;".2.1】",""))))</f>
      </c>
      <c r="CR147" s="2">
        <f>IF(CP147="","",IF(CQ147="",IF(OR(AND(CP147&gt;7,OR(AND(CA147&gt;1,CA147&lt;=7),AND(CD147&gt;1,CD147&lt;=7))),AND(CP147&gt;7,OR(RIGHT(BZ147,4)=".8.1",RIGHT(CC147,4)=".8.1"))),BY147+1&amp;".8.1。【說明：原實際條件成就之日期為"&amp;CO147&amp;"，惟因須配合學期暨受次年度指標數增加之影響，而必須二次遞延至當學年度結束之次日，始能退休生效，爰推算為"&amp;BY147+1&amp;".8.1】",BY147+2&amp;".2.1。【說明：原實際條件成就之日期為"&amp;CO147&amp;"，惟因須配合學期暨受次年度指標數增加之影響，而必須三次遞延至次學年度第一學期結束之次日，始能退休生效，爰推算為"&amp;BY147+2&amp;".2.1】"),""))</f>
      </c>
      <c r="CS147" s="128"/>
      <c r="CT147" s="2"/>
      <c r="CU147" s="2"/>
      <c r="CV147" s="128"/>
      <c r="CW147" s="2"/>
      <c r="CX147" s="2"/>
      <c r="CY147" s="128"/>
      <c r="CZ147" s="2"/>
      <c r="DA147" s="2"/>
      <c r="DB147" s="128"/>
      <c r="DC147" s="2">
        <f>IF(AND(CM147=60,S147=60,T147=15),CK147,IF(AND(CM147=60,S147&gt;60,T147=15),CD147,IF(AND(CM147=60,S147=60,T147&gt;15),CA147,"")))</f>
      </c>
      <c r="DD147" s="2">
        <f>IF(AND(CM147=60,S147=60,T147=15),CJ147,IF(AND(CM147=60,S147&gt;60,T147=15),CC147,IF(AND(CM147=60,S147=60,T147&gt;15),BZ147,"")))</f>
      </c>
      <c r="DE147" s="128">
        <f>IF(DC147="","",IF(RIGHT(DD147,4)=".8.1",BY147&amp;".8.1",IF(RIGHT(DD147,4)=".2.1",BY147&amp;".2.1",IF(DC147=1,BY147&amp;".2.1。【說明：原實際條件成就時間為"&amp;DD147&amp;"，惟因必須配合學期而延至當學期結束之次日，始能退休生效，爰推算為"&amp;BY147&amp;".2.1】",IF(AND(DC147&lt;=7,DC147&gt;1),BY147&amp;".8.1。【說明：原實際條件成就時間為"&amp;DD147&amp;"，惟因必須配合學期而延至當學年度結束之次日，始能退休生效，爰推算為"&amp;BY147&amp;".8.1】",BY147+1&amp;".2.1。【說明：原實際條件成就時間為"&amp;DD147&amp;"，惟因必須配合學期而延至當學期結束之次日，始能退休生效，爰推算為"&amp;BY147+1&amp;".2.1】")))))</f>
      </c>
      <c r="DF147" s="2"/>
      <c r="DG147" s="2"/>
      <c r="DH147" s="128"/>
      <c r="DI147" s="2">
        <f>IF(CM147=65,CA147,"")</f>
      </c>
      <c r="DJ147" s="2">
        <f>IF(CM147=65,BZ147,"")</f>
      </c>
      <c r="DK147" s="128">
        <f>IF(DI147="","",IF(RIGHT(DJ147,4)=".8.1",BY147&amp;".8.1",IF(RIGHT(DJ147,4)=".2.1",BY147&amp;".2.1",IF(DI147=1,BY147&amp;".2.1。【說明：原實際條件成就時間為"&amp;DJ147&amp;"，惟因必須配合學期而延至當學期結束之次日，始能退休生效，爰推算為"&amp;BY147&amp;".2.1】",IF(AND(DI147&lt;=7,DI147&gt;1),BY147&amp;".8.1。【說明：原實際條件成就時間為"&amp;DJ147&amp;"，惟因必須配合學期而延至當學年度結束之次日，始能退休生效，爰推算為"&amp;BY147&amp;".8.1】",BY147+1&amp;".2.1。【說明：原實際條件成就時間為"&amp;DJ147&amp;"，惟因必須配合學期而延至當學期結束之次日，始能退休生效，爰推算為"&amp;BY147+1&amp;".2.1】")))))</f>
      </c>
      <c r="DL147" s="128"/>
      <c r="DM147" s="21"/>
      <c r="DN147" s="2"/>
      <c r="DO147" s="2"/>
      <c r="DP147" s="2"/>
      <c r="DQ147" s="2"/>
      <c r="DR147" s="2"/>
      <c r="DS147" s="2"/>
      <c r="DT147" s="2"/>
      <c r="DU147" s="2"/>
      <c r="DV147" s="10"/>
      <c r="DW147" s="2"/>
      <c r="DX147" s="2"/>
      <c r="EB147" s="212"/>
      <c r="EC147" s="212"/>
      <c r="ED147" s="212"/>
      <c r="EN147" s="318"/>
      <c r="EO147" s="137"/>
      <c r="EP147" s="318"/>
      <c r="EQ147" s="318"/>
    </row>
    <row r="148" spans="2:147" s="136" customFormat="1" ht="16.5" hidden="1">
      <c r="B148" s="53"/>
      <c r="C148" s="53"/>
      <c r="D148" s="26"/>
      <c r="E148" s="26"/>
      <c r="F148" s="26"/>
      <c r="G148" s="53"/>
      <c r="H148" s="132"/>
      <c r="I148" s="132"/>
      <c r="J148" s="53"/>
      <c r="K148" s="117"/>
      <c r="L148" s="117"/>
      <c r="M148" s="117"/>
      <c r="N148" s="133"/>
      <c r="O148" s="133"/>
      <c r="P148" s="133"/>
      <c r="Q148" s="133"/>
      <c r="R148" s="134"/>
      <c r="S148" s="133"/>
      <c r="T148" s="133"/>
      <c r="U148" s="133"/>
      <c r="V148" s="138"/>
      <c r="W148" s="138"/>
      <c r="X148" s="138"/>
      <c r="Y148" s="138"/>
      <c r="Z148" s="233" t="s">
        <v>114</v>
      </c>
      <c r="AA148" s="234">
        <f>IF(AA131=0,"",IF(AA146&lt;=DATE(AA132+1911,2,1),DATE(AA132+1911,2,1),IF(AND(AA146&gt;DATE(AA132+1911,2,1),AA146&lt;=DATE(AA132+1911,8,1)),DATE(AA132+1911,8,1),DATE(AA132+1+1911,2,1))))</f>
      </c>
      <c r="AB148" s="284">
        <f>IF(AB131=0,"",IF(AB146&lt;=DATE(AB132+1911,2,1),DATE(AB132+1911,2,1),IF(AND(AB146&gt;DATE(AB132+1911,2,1),AB146&lt;=DATE(AB132+1911,8,1)),DATE(AB132+1911,8,1),DATE(AB132+1+1911,2,1))))</f>
        <v>45689</v>
      </c>
      <c r="AC148" s="284">
        <f>IF(AC132="","",IF(AC146&lt;=DATE(AC132+1911,2,1),DATE(AC132+1911,2,1),IF(AND(AC146&gt;DATE(AC132+1911,2,1),AC146&lt;=DATE(AC132+1911,8,1)),DATE(AC132+1911,8,1),DATE(AC132+1+1911,2,1))))</f>
        <v>45689</v>
      </c>
      <c r="AF148" s="284">
        <f>IF(AF146&lt;=DATE(AF132+1911,2,1),DATE(AF132+1911,2,1),IF(AF146&lt;=DATE(AF132+1911,8,1),DATE(AF132+1911,8,1),DATE(AF132+1+1911,2,1)))</f>
        <v>46600</v>
      </c>
      <c r="AG148" s="251"/>
      <c r="AH148" s="259"/>
      <c r="AI148" s="284">
        <f>IF(AI146&lt;=DATE(AI132+1911,2,1),DATE(AI132+1911,2,1),IF(AI146&lt;=DATE(AI132+1911,8,1),DATE(AI132+1911,8,1),DATE(AI132+1+1911,2,1)))</f>
        <v>46235</v>
      </c>
      <c r="AP148" s="27"/>
      <c r="AQ148" s="27"/>
      <c r="AR148" s="27"/>
      <c r="AX148" s="140"/>
      <c r="AY148" s="140"/>
      <c r="AZ148" s="140"/>
      <c r="BA148" s="140"/>
      <c r="BB148" s="140"/>
      <c r="BW148" s="7"/>
      <c r="BX148" s="7"/>
      <c r="BY148" s="20"/>
      <c r="BZ148" s="2"/>
      <c r="CA148" s="181"/>
      <c r="CB148" s="2"/>
      <c r="CC148" s="2"/>
      <c r="CD148" s="181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128"/>
      <c r="CT148" s="2"/>
      <c r="CU148" s="2"/>
      <c r="CV148" s="128"/>
      <c r="CW148" s="2"/>
      <c r="CX148" s="2"/>
      <c r="CY148" s="128"/>
      <c r="CZ148" s="2"/>
      <c r="DA148" s="2"/>
      <c r="DB148" s="128"/>
      <c r="DC148" s="2"/>
      <c r="DD148" s="2"/>
      <c r="DE148" s="128"/>
      <c r="DF148" s="2"/>
      <c r="DG148" s="2"/>
      <c r="DH148" s="128"/>
      <c r="DI148" s="2"/>
      <c r="DJ148" s="2"/>
      <c r="DK148" s="128"/>
      <c r="DL148" s="128"/>
      <c r="DM148" s="21"/>
      <c r="DN148" s="2"/>
      <c r="DO148" s="2"/>
      <c r="DP148" s="2"/>
      <c r="DQ148" s="2"/>
      <c r="DR148" s="2"/>
      <c r="DS148" s="2"/>
      <c r="DT148" s="2"/>
      <c r="DU148" s="2"/>
      <c r="DV148" s="10"/>
      <c r="DW148" s="2"/>
      <c r="DX148" s="2"/>
      <c r="EB148" s="212"/>
      <c r="EC148" s="212"/>
      <c r="ED148" s="212"/>
      <c r="EN148" s="318"/>
      <c r="EO148" s="137"/>
      <c r="EP148" s="318"/>
      <c r="EQ148" s="318"/>
    </row>
    <row r="149" spans="2:147" s="136" customFormat="1" ht="16.5" hidden="1">
      <c r="B149" s="53"/>
      <c r="C149" s="53"/>
      <c r="D149" s="26"/>
      <c r="E149" s="26"/>
      <c r="F149" s="26"/>
      <c r="G149" s="53"/>
      <c r="H149" s="132"/>
      <c r="I149" s="132"/>
      <c r="J149" s="53"/>
      <c r="K149" s="117"/>
      <c r="L149" s="117"/>
      <c r="M149" s="117"/>
      <c r="N149" s="133"/>
      <c r="O149" s="133"/>
      <c r="P149" s="133"/>
      <c r="Q149" s="133"/>
      <c r="R149" s="134"/>
      <c r="S149" s="133"/>
      <c r="T149" s="133"/>
      <c r="U149" s="133"/>
      <c r="V149" s="138"/>
      <c r="W149" s="138"/>
      <c r="X149" s="138"/>
      <c r="Y149" s="138"/>
      <c r="Z149" s="233" t="s">
        <v>116</v>
      </c>
      <c r="AA149" s="245">
        <f>IF(AA131=0,"",IF(AA146&lt;=DATE(AA132+1911,2,1),AA132&amp;".2.1",IF(AND(AA146&gt;DATE(AA132+1911,2,1),AA146&lt;=DATE(AA132+1911,8,1)),AA132&amp;".8.1",AA132+1&amp;".2.1")))</f>
      </c>
      <c r="AB149" s="285" t="str">
        <f>IF(AB131=0,"",IF(AB146&lt;=DATE(AB132+1911,2,1),AB132&amp;".2.1",IF(AND(AB146&gt;DATE(AB132+1911,2,1),AB146&lt;=DATE(AB132+1911,8,1)),AB132&amp;".8.1",AB132+1&amp;".2.1")))</f>
        <v>114.2.1</v>
      </c>
      <c r="AC149" s="285" t="str">
        <f>IF(AC148&lt;=DATE(107+1911,8,1),"107.8.1",IF(AC131=0,"",IF(AC146&lt;=DATE(AC132+1911,2,1),AC132&amp;".2.1",IF(AND(AC146&gt;DATE(AC132+1911,2,1),AC146&lt;=DATE(AC132+1911,8,1)),AC132&amp;".8.1",AC132+1&amp;".2.1"))))</f>
        <v>114.2.1</v>
      </c>
      <c r="AF149" s="278" t="s">
        <v>138</v>
      </c>
      <c r="AG149" s="252" t="str">
        <f>IF(AA148&gt;=AB148,AB149,AA149)</f>
        <v>114.2.1</v>
      </c>
      <c r="AH149" s="259"/>
      <c r="AP149" s="27"/>
      <c r="AQ149" s="27"/>
      <c r="AR149" s="27"/>
      <c r="AX149" s="140"/>
      <c r="AY149" s="140"/>
      <c r="AZ149" s="140"/>
      <c r="BA149" s="140"/>
      <c r="BB149" s="140"/>
      <c r="BW149" s="7"/>
      <c r="BX149" s="7"/>
      <c r="BY149" s="20"/>
      <c r="BZ149" s="2"/>
      <c r="CA149" s="181"/>
      <c r="CB149" s="2"/>
      <c r="CC149" s="2"/>
      <c r="CD149" s="181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128"/>
      <c r="CT149" s="2"/>
      <c r="CU149" s="2"/>
      <c r="CV149" s="128"/>
      <c r="CW149" s="2"/>
      <c r="CX149" s="2"/>
      <c r="CY149" s="128"/>
      <c r="CZ149" s="2"/>
      <c r="DA149" s="2"/>
      <c r="DB149" s="128"/>
      <c r="DC149" s="2"/>
      <c r="DD149" s="2"/>
      <c r="DE149" s="128"/>
      <c r="DF149" s="2"/>
      <c r="DG149" s="2"/>
      <c r="DH149" s="128"/>
      <c r="DI149" s="2"/>
      <c r="DJ149" s="2"/>
      <c r="DK149" s="128"/>
      <c r="DL149" s="128"/>
      <c r="DM149" s="21"/>
      <c r="DN149" s="2"/>
      <c r="DO149" s="2"/>
      <c r="DP149" s="2"/>
      <c r="DQ149" s="2"/>
      <c r="DR149" s="2"/>
      <c r="DS149" s="2"/>
      <c r="DT149" s="2"/>
      <c r="DU149" s="2"/>
      <c r="DV149" s="10"/>
      <c r="DW149" s="2"/>
      <c r="DX149" s="2"/>
      <c r="EB149" s="212"/>
      <c r="EC149" s="212"/>
      <c r="ED149" s="212"/>
      <c r="EN149" s="318"/>
      <c r="EO149" s="137"/>
      <c r="EP149" s="318"/>
      <c r="EQ149" s="318"/>
    </row>
    <row r="150" spans="2:147" s="136" customFormat="1" ht="16.5" hidden="1">
      <c r="B150" s="53"/>
      <c r="C150" s="53"/>
      <c r="D150" s="26"/>
      <c r="E150" s="26"/>
      <c r="F150" s="26"/>
      <c r="G150" s="53"/>
      <c r="H150" s="132"/>
      <c r="I150" s="132"/>
      <c r="J150" s="53"/>
      <c r="K150" s="117"/>
      <c r="L150" s="117"/>
      <c r="M150" s="117"/>
      <c r="N150" s="537"/>
      <c r="O150" s="537"/>
      <c r="P150" s="537"/>
      <c r="Q150" s="537"/>
      <c r="R150" s="134"/>
      <c r="S150" s="133"/>
      <c r="T150" s="133"/>
      <c r="U150" s="133"/>
      <c r="V150" s="138"/>
      <c r="W150" s="138"/>
      <c r="X150" s="138"/>
      <c r="Y150" s="138"/>
      <c r="Z150" s="138"/>
      <c r="AA150" s="139">
        <f>IF(AA132="","",IF(AA145&gt;AA148,2,1))</f>
      </c>
      <c r="AB150" s="283">
        <f>IF(AB132="","",IF(AC175&gt;AB148,2,1))</f>
        <v>2</v>
      </c>
      <c r="AC150" s="283">
        <f>IF(AC132="","",IF(AC175&gt;AC148,2,1))</f>
        <v>2</v>
      </c>
      <c r="AF150" s="139" t="str">
        <f>IF(MONTH(AF148)=2,YEAR(AF148)-YEAR(AF146)+AF132&amp;".2.1",YEAR(AF148)-YEAR(AF146)+AF132&amp;".8.1")</f>
        <v>116.8.1</v>
      </c>
      <c r="AG150" s="270">
        <f>IF(AG131=0,"",VALUE(CONCATENATE(AA150,AB150)))</f>
        <v>2</v>
      </c>
      <c r="AH150" s="259"/>
      <c r="AI150" s="139" t="str">
        <f>IF(MONTH(AI148)=2,YEAR(AI148)-YEAR(AI146)+AI132&amp;".2.1",YEAR(AI148)-YEAR(AI146)+AI132&amp;".8.1")</f>
        <v>115.8.1</v>
      </c>
      <c r="AP150" s="27"/>
      <c r="AQ150" s="27"/>
      <c r="AR150" s="27"/>
      <c r="AX150" s="140"/>
      <c r="AY150" s="140"/>
      <c r="AZ150" s="140"/>
      <c r="BA150" s="140"/>
      <c r="BB150" s="140"/>
      <c r="BW150" s="7"/>
      <c r="BX150" s="7"/>
      <c r="BY150" s="20"/>
      <c r="BZ150" s="2"/>
      <c r="CA150" s="181"/>
      <c r="CB150" s="2"/>
      <c r="CC150" s="2"/>
      <c r="CD150" s="181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>
        <f t="shared" si="175"/>
      </c>
      <c r="CR150" s="2">
        <f>IF(CP150="","",IF(CQ150="",IF(OR(AND(CP150&gt;7,OR(AND(CA150&gt;1,CA150&lt;=7),AND(CD150&gt;1,CD150&lt;=7))),AND(CP150&gt;7,OR(RIGHT(BZ150,4)=".8.1",RIGHT(CC150,4)=".8.1"))),BY150+1&amp;".8.1。【說明：原實際條件成就之日期為"&amp;CO150&amp;"，惟因須配合學期暨受次年度指標數增加之影響，而必須二次遞延至當學年度結束之次日，始能退休生效，爰推算為"&amp;BY150+1&amp;".8.1】",BY150+2&amp;".2.1。【說明：原實際條件成就之日期為"&amp;CO150&amp;"，惟因須配合學期暨受次年度指標數增加之影響，而必須三次遞延至次學年度第一學期結束之次日，始能退休生效，爰推算為"&amp;BY150+2&amp;".2.1】"),""))</f>
      </c>
      <c r="CS150" s="128"/>
      <c r="CT150" s="2"/>
      <c r="CU150" s="2"/>
      <c r="CV150" s="128"/>
      <c r="CW150" s="2"/>
      <c r="CX150" s="2"/>
      <c r="CY150" s="128"/>
      <c r="CZ150" s="2"/>
      <c r="DA150" s="2"/>
      <c r="DB150" s="128"/>
      <c r="DC150" s="2">
        <f t="shared" si="204"/>
      </c>
      <c r="DD150" s="2">
        <f t="shared" si="205"/>
      </c>
      <c r="DE150" s="128">
        <f>IF(DC150="","",IF(RIGHT(DD150,4)=".8.1",BY150&amp;".8.1",IF(RIGHT(DD150,4)=".2.1",BY150&amp;".2.1",IF(DC150=1,BY150&amp;".2.1。【說明：原實際條件成就時間為"&amp;DD150&amp;"，惟因必須配合學期而延至當學期結束之次日，始能退休生效，爰推算為"&amp;BY150&amp;".2.1】",IF(AND(DC150&lt;=7,DC150&gt;1),BY150&amp;".8.1。【說明：原實際條件成就時間為"&amp;DD150&amp;"，惟因必須配合學期而延至當學年度結束之次日，始能退休生效，爰推算為"&amp;BY150&amp;".8.1】",BY150+1&amp;".2.1。【說明：原實際條件成就時間為"&amp;DD150&amp;"，惟因必須配合學期而延至當學期結束之次日，始能退休生效，爰推算為"&amp;BY150+1&amp;".2.1】")))))</f>
      </c>
      <c r="DF150" s="2"/>
      <c r="DG150" s="2"/>
      <c r="DH150" s="128"/>
      <c r="DI150" s="2">
        <f t="shared" si="206"/>
      </c>
      <c r="DJ150" s="2">
        <f t="shared" si="207"/>
      </c>
      <c r="DK150" s="128">
        <f t="shared" si="203"/>
      </c>
      <c r="DL150" s="128"/>
      <c r="DM150" s="21"/>
      <c r="DN150" s="2"/>
      <c r="DO150" s="2"/>
      <c r="DP150" s="2"/>
      <c r="DQ150" s="2"/>
      <c r="DR150" s="2"/>
      <c r="DS150" s="2"/>
      <c r="DT150" s="2"/>
      <c r="DU150" s="2"/>
      <c r="DV150" s="10"/>
      <c r="DW150" s="2"/>
      <c r="DX150" s="2"/>
      <c r="EB150" s="212"/>
      <c r="EC150" s="212"/>
      <c r="ED150" s="212"/>
      <c r="EN150" s="318"/>
      <c r="EO150" s="137"/>
      <c r="EP150" s="318"/>
      <c r="EQ150" s="318"/>
    </row>
    <row r="151" spans="2:147" s="136" customFormat="1" ht="16.5" hidden="1">
      <c r="B151" s="53"/>
      <c r="C151" s="53"/>
      <c r="D151" s="26"/>
      <c r="E151" s="26"/>
      <c r="F151" s="26"/>
      <c r="G151" s="53"/>
      <c r="H151" s="132"/>
      <c r="I151" s="132"/>
      <c r="J151" s="53"/>
      <c r="K151" s="117"/>
      <c r="L151" s="117"/>
      <c r="M151" s="117"/>
      <c r="N151" s="537"/>
      <c r="O151" s="537"/>
      <c r="P151" s="537"/>
      <c r="Q151" s="537"/>
      <c r="R151" s="134"/>
      <c r="S151" s="133"/>
      <c r="T151" s="133"/>
      <c r="U151" s="133"/>
      <c r="V151" s="138"/>
      <c r="W151" s="138"/>
      <c r="X151" s="138"/>
      <c r="Y151" s="138"/>
      <c r="AA151" s="140"/>
      <c r="AB151" s="283"/>
      <c r="AC151" s="283"/>
      <c r="AF151" s="139"/>
      <c r="AG151" s="269" t="str">
        <f>IF(AA148&gt;=AB148,"(58歲)","(58歲)")</f>
        <v>(58歲)</v>
      </c>
      <c r="AH151" s="259"/>
      <c r="AI151" s="139"/>
      <c r="AP151" s="27"/>
      <c r="AQ151" s="27"/>
      <c r="AR151" s="27"/>
      <c r="AX151" s="140"/>
      <c r="AY151" s="140"/>
      <c r="AZ151" s="140"/>
      <c r="BA151" s="140"/>
      <c r="BB151" s="140"/>
      <c r="BW151" s="7"/>
      <c r="BX151" s="7"/>
      <c r="BY151" s="20"/>
      <c r="BZ151" s="2"/>
      <c r="CA151" s="181"/>
      <c r="CB151" s="2"/>
      <c r="CC151" s="2"/>
      <c r="CD151" s="181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>
        <f t="shared" si="175"/>
      </c>
      <c r="CR151" s="2">
        <f>IF(CP151="","",IF(CQ151="",IF(OR(AND(CP151&gt;7,OR(AND(CA151&gt;1,CA151&lt;=7),AND(CD151&gt;1,CD151&lt;=7))),AND(CP151&gt;7,OR(RIGHT(BZ151,4)=".8.1",RIGHT(CC151,4)=".8.1"))),BY151+1&amp;".8.1。【說明：原實際條件成就之日期為"&amp;CO151&amp;"，惟因須配合學期暨受次年度指標數增加之影響，而必須二次遞延至當學年度結束之次日，始能退休生效，爰推算為"&amp;BY151+1&amp;".8.1】",BY151+2&amp;".2.1。【說明：原實際條件成就之日期為"&amp;CO151&amp;"，惟因須配合學期暨受次年度指標數增加之影響，而必須三次遞延至次學年度第一學期結束之次日，始能退休生效，爰推算為"&amp;BY151+2&amp;".2.1】"),""))</f>
      </c>
      <c r="CS151" s="128"/>
      <c r="CT151" s="2"/>
      <c r="CU151" s="2"/>
      <c r="CV151" s="128"/>
      <c r="CW151" s="2"/>
      <c r="CX151" s="2"/>
      <c r="CY151" s="128"/>
      <c r="CZ151" s="2"/>
      <c r="DA151" s="2"/>
      <c r="DB151" s="128"/>
      <c r="DC151" s="2">
        <f t="shared" si="204"/>
      </c>
      <c r="DD151" s="2">
        <f t="shared" si="205"/>
      </c>
      <c r="DE151" s="128">
        <f>IF(DC151="","",IF(RIGHT(DD151,4)=".8.1",BY151&amp;".8.1",IF(RIGHT(DD151,4)=".2.1",BY151&amp;".2.1",IF(DC151=1,BY151&amp;".2.1。【說明：原實際條件成就時間為"&amp;DD151&amp;"，惟因必須配合學期而延至當學期結束之次日，始能退休生效，爰推算為"&amp;BY151&amp;".2.1】",IF(AND(DC151&lt;=7,DC151&gt;1),BY151&amp;".8.1。【說明：原實際條件成就時間為"&amp;DD151&amp;"，惟因必須配合學期而延至當學年度結束之次日，始能退休生效，爰推算為"&amp;BY151&amp;".8.1】",BY151+1&amp;".2.1。【說明：原實際條件成就時間為"&amp;DD151&amp;"，惟因必須配合學期而延至當學期結束之次日，始能退休生效，爰推算為"&amp;BY151+1&amp;".2.1】")))))</f>
      </c>
      <c r="DF151" s="2"/>
      <c r="DG151" s="2"/>
      <c r="DH151" s="128"/>
      <c r="DI151" s="2">
        <f t="shared" si="206"/>
      </c>
      <c r="DJ151" s="2">
        <f t="shared" si="207"/>
      </c>
      <c r="DK151" s="128">
        <f t="shared" si="203"/>
      </c>
      <c r="DL151" s="128"/>
      <c r="DM151" s="21"/>
      <c r="DN151" s="2"/>
      <c r="DO151" s="2"/>
      <c r="DP151" s="2"/>
      <c r="DQ151" s="2"/>
      <c r="DR151" s="2"/>
      <c r="DS151" s="2"/>
      <c r="DT151" s="2"/>
      <c r="DU151" s="2"/>
      <c r="DV151" s="10"/>
      <c r="DW151" s="2"/>
      <c r="DX151" s="2"/>
      <c r="EB151" s="212"/>
      <c r="EC151" s="212"/>
      <c r="ED151" s="212"/>
      <c r="EN151" s="318"/>
      <c r="EO151" s="137"/>
      <c r="EP151" s="318"/>
      <c r="EQ151" s="318"/>
    </row>
    <row r="152" spans="2:147" s="136" customFormat="1" ht="21.75" customHeight="1" hidden="1">
      <c r="B152" s="53"/>
      <c r="C152" s="53"/>
      <c r="D152" s="26"/>
      <c r="E152" s="26"/>
      <c r="F152" s="26"/>
      <c r="G152" s="53"/>
      <c r="H152" s="132"/>
      <c r="I152" s="132"/>
      <c r="J152" s="53"/>
      <c r="K152" s="117"/>
      <c r="L152" s="117"/>
      <c r="M152" s="117"/>
      <c r="N152" s="133"/>
      <c r="O152" s="133"/>
      <c r="P152" s="133"/>
      <c r="Q152" s="133"/>
      <c r="R152" s="134"/>
      <c r="S152" s="133"/>
      <c r="T152" s="133"/>
      <c r="U152" s="133"/>
      <c r="V152" s="138"/>
      <c r="W152" s="138"/>
      <c r="X152" s="138"/>
      <c r="Y152" s="138"/>
      <c r="AA152" s="140"/>
      <c r="AB152" s="283"/>
      <c r="AC152" s="283"/>
      <c r="AF152" s="27">
        <f>IF(AND(DO2&lt;=121,DN2&gt;=122),"★★★喔麥尬 ~茲經推算，原實際條件成就之日期為"&amp;DN5&amp;"，惟因須配合學期，而必須延至122年始能申請退休，但122年已逾指標數過渡期，您必須改適用「年齡滿58歲、年資滿15年」之擇領月退休金條件，爰成就日期必須修正為"&amp;AF139&amp;"，且因須配合學期而再延後，實際可申請退休日期為"&amp;AF150&amp;"。","")</f>
      </c>
      <c r="AH152" s="259"/>
      <c r="AI152" s="27">
        <f>IF(AND(DO2&lt;=115,DN2&gt;=116,DP2&lt;=55),"茲經推算，原實際條件成就之日期為"&amp;DN5&amp;"，惟因須配合學期，而必須延至116年始能申請退休，但116年指標數過渡期進入第二階段，您必須改適用【年資≧25年&amp;年齡≧55歲】且【年資＋年齡≧當年法定指標數】之擇領全額月退休金條件，爰成就日期必須修正為"&amp;AI139&amp;"，且因須配合學期而再延後，實際可申請退休日期為"&amp;AI150&amp;"。","")</f>
      </c>
      <c r="AP152" s="27"/>
      <c r="AQ152" s="27"/>
      <c r="AR152" s="27"/>
      <c r="AX152" s="140"/>
      <c r="AY152" s="140"/>
      <c r="AZ152" s="140"/>
      <c r="BA152" s="140"/>
      <c r="BB152" s="140"/>
      <c r="BW152" s="7"/>
      <c r="BX152" s="7"/>
      <c r="BY152" s="20"/>
      <c r="BZ152" s="2"/>
      <c r="CA152" s="181"/>
      <c r="CB152" s="2"/>
      <c r="CC152" s="2"/>
      <c r="CD152" s="181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128"/>
      <c r="CT152" s="2"/>
      <c r="CU152" s="2"/>
      <c r="CV152" s="128"/>
      <c r="CW152" s="2"/>
      <c r="CX152" s="2"/>
      <c r="CY152" s="128"/>
      <c r="CZ152" s="2"/>
      <c r="DA152" s="2"/>
      <c r="DB152" s="128"/>
      <c r="DC152" s="2"/>
      <c r="DD152" s="2"/>
      <c r="DE152" s="128"/>
      <c r="DF152" s="2"/>
      <c r="DG152" s="2"/>
      <c r="DH152" s="128"/>
      <c r="DI152" s="2"/>
      <c r="DJ152" s="2"/>
      <c r="DK152" s="128"/>
      <c r="DL152" s="128"/>
      <c r="DM152" s="21"/>
      <c r="DN152" s="2"/>
      <c r="DO152" s="2"/>
      <c r="DP152" s="2"/>
      <c r="DQ152" s="2"/>
      <c r="DR152" s="2"/>
      <c r="DS152" s="2"/>
      <c r="DT152" s="2"/>
      <c r="DU152" s="2"/>
      <c r="DV152" s="10"/>
      <c r="DW152" s="2"/>
      <c r="DX152" s="2"/>
      <c r="EB152" s="212"/>
      <c r="EC152" s="212"/>
      <c r="ED152" s="212"/>
      <c r="EN152" s="318"/>
      <c r="EO152" s="137"/>
      <c r="EP152" s="318"/>
      <c r="EQ152" s="318"/>
    </row>
    <row r="153" spans="2:147" s="136" customFormat="1" ht="16.5" hidden="1">
      <c r="B153" s="53"/>
      <c r="C153" s="53"/>
      <c r="D153" s="26"/>
      <c r="E153" s="26"/>
      <c r="F153" s="26"/>
      <c r="G153" s="53"/>
      <c r="H153" s="132"/>
      <c r="I153" s="132"/>
      <c r="J153" s="53"/>
      <c r="K153" s="117"/>
      <c r="L153" s="117"/>
      <c r="M153" s="117"/>
      <c r="N153" s="133"/>
      <c r="O153" s="133"/>
      <c r="P153" s="133"/>
      <c r="Q153" s="133"/>
      <c r="R153" s="134"/>
      <c r="S153" s="133"/>
      <c r="T153" s="133"/>
      <c r="U153" s="133"/>
      <c r="V153" s="243"/>
      <c r="W153" s="243"/>
      <c r="X153" s="243"/>
      <c r="Y153" s="243"/>
      <c r="Z153" s="240" t="s">
        <v>125</v>
      </c>
      <c r="AA153" s="234" t="e">
        <f>DATE(AA132+1911,$U$7,$W$7)</f>
        <v>#VALUE!</v>
      </c>
      <c r="AB153" s="284">
        <f>DATE(AB132+1911,$U$7,$W$7)</f>
        <v>45327</v>
      </c>
      <c r="AC153" s="284">
        <f>DATE(AC132+1911,$U$7,$W$7)</f>
        <v>45327</v>
      </c>
      <c r="AD153" s="239"/>
      <c r="AE153" s="239"/>
      <c r="AF153" s="139"/>
      <c r="AH153" s="261">
        <f>DATE(AH132+1911,$U$7,$W$7)</f>
        <v>46058</v>
      </c>
      <c r="AI153" s="139"/>
      <c r="AP153" s="27"/>
      <c r="AQ153" s="27"/>
      <c r="AR153" s="27"/>
      <c r="AX153" s="140"/>
      <c r="AY153" s="140"/>
      <c r="AZ153" s="140"/>
      <c r="BA153" s="140"/>
      <c r="BB153" s="140"/>
      <c r="BW153" s="7"/>
      <c r="BX153" s="7"/>
      <c r="BY153" s="20"/>
      <c r="BZ153" s="2"/>
      <c r="CA153" s="181"/>
      <c r="CB153" s="2"/>
      <c r="CC153" s="2"/>
      <c r="CD153" s="181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128"/>
      <c r="CT153" s="2"/>
      <c r="CU153" s="2"/>
      <c r="CV153" s="128"/>
      <c r="CW153" s="2"/>
      <c r="CX153" s="2"/>
      <c r="CY153" s="128"/>
      <c r="CZ153" s="2"/>
      <c r="DA153" s="2"/>
      <c r="DB153" s="128"/>
      <c r="DC153" s="2"/>
      <c r="DD153" s="2"/>
      <c r="DE153" s="128"/>
      <c r="DF153" s="2"/>
      <c r="DG153" s="2"/>
      <c r="DH153" s="128"/>
      <c r="DI153" s="2"/>
      <c r="DJ153" s="2"/>
      <c r="DK153" s="128"/>
      <c r="DL153" s="128"/>
      <c r="DM153" s="21"/>
      <c r="DN153" s="2"/>
      <c r="DO153" s="2"/>
      <c r="DP153" s="2"/>
      <c r="DQ153" s="2"/>
      <c r="DR153" s="2"/>
      <c r="DS153" s="2"/>
      <c r="DT153" s="2"/>
      <c r="DU153" s="2"/>
      <c r="DV153" s="10"/>
      <c r="DW153" s="2"/>
      <c r="DX153" s="2"/>
      <c r="EB153" s="212"/>
      <c r="EC153" s="212"/>
      <c r="ED153" s="212"/>
      <c r="EN153" s="318"/>
      <c r="EO153" s="137"/>
      <c r="EP153" s="318"/>
      <c r="EQ153" s="318"/>
    </row>
    <row r="154" spans="2:147" s="136" customFormat="1" ht="16.5" hidden="1">
      <c r="B154" s="53"/>
      <c r="C154" s="53"/>
      <c r="D154" s="26"/>
      <c r="E154" s="26"/>
      <c r="F154" s="26"/>
      <c r="G154" s="53"/>
      <c r="H154" s="132"/>
      <c r="I154" s="132"/>
      <c r="J154" s="53"/>
      <c r="K154" s="117"/>
      <c r="L154" s="117"/>
      <c r="M154" s="117"/>
      <c r="N154" s="133"/>
      <c r="O154" s="133"/>
      <c r="P154" s="133"/>
      <c r="Q154" s="133"/>
      <c r="R154" s="134"/>
      <c r="S154" s="133"/>
      <c r="T154" s="133"/>
      <c r="U154" s="133"/>
      <c r="V154" s="243"/>
      <c r="W154" s="243"/>
      <c r="X154" s="243"/>
      <c r="Y154" s="243"/>
      <c r="Z154" s="240" t="s">
        <v>126</v>
      </c>
      <c r="AA154" s="244" t="e">
        <f>DATE(AA132+1911,$AB$9,$AC$9)</f>
        <v>#VALUE!</v>
      </c>
      <c r="AB154" s="284">
        <f>DATE(AB132+1911,$AB$9,$AC$9)</f>
        <v>45563</v>
      </c>
      <c r="AC154" s="284">
        <f>DATE(AC132+1911,$AB$9,$AC$9)</f>
        <v>45563</v>
      </c>
      <c r="AD154" s="239"/>
      <c r="AE154" s="239"/>
      <c r="AF154" s="139"/>
      <c r="AH154" s="262">
        <f>DATE(AH132+1911,$AB$9,$AC$9)</f>
        <v>46293</v>
      </c>
      <c r="AI154" s="139"/>
      <c r="AP154" s="27"/>
      <c r="AQ154" s="27"/>
      <c r="AR154" s="27"/>
      <c r="AX154" s="140"/>
      <c r="AY154" s="140"/>
      <c r="AZ154" s="140"/>
      <c r="BA154" s="140"/>
      <c r="BB154" s="140"/>
      <c r="BW154" s="7"/>
      <c r="BX154" s="7"/>
      <c r="BY154" s="20"/>
      <c r="BZ154" s="2"/>
      <c r="CA154" s="181"/>
      <c r="CB154" s="2"/>
      <c r="CC154" s="2"/>
      <c r="CD154" s="181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128"/>
      <c r="CT154" s="2"/>
      <c r="CU154" s="2"/>
      <c r="CV154" s="128"/>
      <c r="CW154" s="2"/>
      <c r="CX154" s="2"/>
      <c r="CY154" s="128"/>
      <c r="CZ154" s="2"/>
      <c r="DA154" s="2"/>
      <c r="DB154" s="128"/>
      <c r="DC154" s="2"/>
      <c r="DD154" s="2"/>
      <c r="DE154" s="128"/>
      <c r="DF154" s="2"/>
      <c r="DG154" s="2"/>
      <c r="DH154" s="128"/>
      <c r="DI154" s="2"/>
      <c r="DJ154" s="2"/>
      <c r="DK154" s="128"/>
      <c r="DL154" s="128"/>
      <c r="DM154" s="21"/>
      <c r="DN154" s="2"/>
      <c r="DO154" s="2"/>
      <c r="DP154" s="2"/>
      <c r="DQ154" s="2"/>
      <c r="DR154" s="2"/>
      <c r="DS154" s="2"/>
      <c r="DT154" s="2"/>
      <c r="DU154" s="2"/>
      <c r="DV154" s="10"/>
      <c r="DW154" s="2"/>
      <c r="DX154" s="2"/>
      <c r="EB154" s="212"/>
      <c r="EC154" s="212"/>
      <c r="ED154" s="212"/>
      <c r="EN154" s="318"/>
      <c r="EO154" s="137"/>
      <c r="EP154" s="318"/>
      <c r="EQ154" s="318"/>
    </row>
    <row r="155" spans="2:147" s="136" customFormat="1" ht="15.75" customHeight="1" hidden="1">
      <c r="B155" s="53"/>
      <c r="C155" s="53"/>
      <c r="D155" s="26"/>
      <c r="E155" s="26"/>
      <c r="F155" s="26"/>
      <c r="G155" s="53"/>
      <c r="H155" s="132"/>
      <c r="I155" s="132"/>
      <c r="J155" s="53"/>
      <c r="K155" s="117"/>
      <c r="L155" s="117"/>
      <c r="M155" s="117"/>
      <c r="N155" s="133"/>
      <c r="O155" s="133"/>
      <c r="P155" s="133"/>
      <c r="Q155" s="133"/>
      <c r="R155" s="134"/>
      <c r="S155" s="133"/>
      <c r="T155" s="133"/>
      <c r="U155" s="133"/>
      <c r="V155" s="243"/>
      <c r="W155" s="243"/>
      <c r="X155" s="243"/>
      <c r="Y155" s="243"/>
      <c r="Z155" s="240" t="s">
        <v>130</v>
      </c>
      <c r="AA155" s="244"/>
      <c r="AB155" s="284"/>
      <c r="AC155" s="284"/>
      <c r="AD155" s="239"/>
      <c r="AE155" s="239"/>
      <c r="AF155" s="139"/>
      <c r="AH155" s="263" t="str">
        <f>IF(AND(W132=0,OR(AND(DATE(AH132+1911,U7,W7)&gt;DATE(AH132+1911,8,1),DATE(AH132+1911,AB9,AC9)&gt;=DATE(AH132+1911,8,1)),AND(DATE(AH132+1911,U7,W7)&gt;=DATE(AH132+1911,8,1),DATE(AH132+1911,AB9,AC9)&gt;DATE(AH132+1911,8,1)))),DM5,CONCATENATE(AH159,AH160,AH161,AH162)&amp;AH167)</f>
        <v>但經推算，您條件成就之日期雖為115.9.28，惟因須配合學期而延後，實際可申請退休之日期為116.2.1</v>
      </c>
      <c r="AI155" s="321" t="str">
        <f>IF(AND(W132=0,OR(AND(DATE(AH132+1911,U7,W7)&gt;DATE(AH132+1911,8,1),DATE(AH132+1911,AB9,AC9)&gt;=DATE(AH132+1911,8,1)),AND(DATE(AH132+1911,U7,W7)&gt;=DATE(AH132+1911,8,1),DATE(AH132+1911,AB9,AC9)&gt;DATE(AH132+1911,8,1)))),LEFT(DM5,7),CONCATENATE(AI159,AI160,AI161,AI162))</f>
        <v>116.2.1</v>
      </c>
      <c r="AP155" s="27"/>
      <c r="AQ155" s="27"/>
      <c r="AR155" s="27"/>
      <c r="AX155" s="140"/>
      <c r="AY155" s="140"/>
      <c r="AZ155" s="140"/>
      <c r="BA155" s="140"/>
      <c r="BB155" s="140"/>
      <c r="BW155" s="7"/>
      <c r="BX155" s="7"/>
      <c r="BY155" s="20"/>
      <c r="BZ155" s="2"/>
      <c r="CA155" s="181"/>
      <c r="CB155" s="2"/>
      <c r="CC155" s="2"/>
      <c r="CD155" s="181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128"/>
      <c r="CT155" s="2"/>
      <c r="CU155" s="2"/>
      <c r="CV155" s="128"/>
      <c r="CW155" s="2"/>
      <c r="CX155" s="2"/>
      <c r="CY155" s="128"/>
      <c r="CZ155" s="2"/>
      <c r="DA155" s="2"/>
      <c r="DB155" s="128"/>
      <c r="DC155" s="2"/>
      <c r="DD155" s="2"/>
      <c r="DE155" s="128"/>
      <c r="DF155" s="2"/>
      <c r="DG155" s="2"/>
      <c r="DH155" s="128"/>
      <c r="DI155" s="2"/>
      <c r="DJ155" s="2"/>
      <c r="DK155" s="128"/>
      <c r="DL155" s="128"/>
      <c r="DM155" s="21"/>
      <c r="DN155" s="2"/>
      <c r="DO155" s="2"/>
      <c r="DP155" s="2"/>
      <c r="DQ155" s="2"/>
      <c r="DR155" s="2"/>
      <c r="DS155" s="2"/>
      <c r="DT155" s="2"/>
      <c r="DU155" s="2"/>
      <c r="DV155" s="10"/>
      <c r="DW155" s="2"/>
      <c r="DX155" s="2"/>
      <c r="EB155" s="212"/>
      <c r="EC155" s="212"/>
      <c r="ED155" s="212"/>
      <c r="EN155" s="318"/>
      <c r="EO155" s="137"/>
      <c r="EP155" s="318"/>
      <c r="EQ155" s="318"/>
    </row>
    <row r="156" spans="2:147" s="136" customFormat="1" ht="16.5" customHeight="1" hidden="1">
      <c r="B156" s="53"/>
      <c r="C156" s="53"/>
      <c r="D156" s="26"/>
      <c r="E156" s="26"/>
      <c r="F156" s="26"/>
      <c r="G156" s="53"/>
      <c r="H156" s="132"/>
      <c r="I156" s="132"/>
      <c r="J156" s="53"/>
      <c r="K156" s="117"/>
      <c r="L156" s="117"/>
      <c r="M156" s="117"/>
      <c r="N156" s="537"/>
      <c r="O156" s="537"/>
      <c r="P156" s="537"/>
      <c r="Q156" s="537"/>
      <c r="R156" s="134"/>
      <c r="S156" s="133"/>
      <c r="T156" s="133"/>
      <c r="U156" s="133"/>
      <c r="V156" s="592"/>
      <c r="W156" s="593"/>
      <c r="X156" s="593"/>
      <c r="Y156" s="593"/>
      <c r="Z156" s="247" t="s">
        <v>127</v>
      </c>
      <c r="AA156" s="139"/>
      <c r="AB156" s="283"/>
      <c r="AC156" s="283"/>
      <c r="AD156" s="239"/>
      <c r="AE156" s="239"/>
      <c r="AF156" s="139"/>
      <c r="AH156" s="264" t="str">
        <f>IF(W132&lt;&gt;0,"",IF(AND(AH131&gt;=2,AH131&lt;=11,W132=0,X130&lt;=DATE(AH132+1911,2,1)),AH132&amp;".2.1",IF(AND(AH131&gt;=2,AH131&lt;=17,W132=0,X130&lt;=DATE(AH132+1911,8,1)),AH132&amp;".8.1",IF(AND(AH131=17,W132=0,X130&gt;DATE(AH132+1911,8,1),OR(AH137&lt;57,AH138&lt;24)),"但經推算，您條件成就之日期雖為"&amp;W130&amp;"，惟因須配合學期而延後至次年度，造成迄121年底前之過渡期間，均無法再次成就指標數之結果，究可於何時退休支領全額月退休金，建議洽詢主管機關!!!",IF(AND(AH131&gt;=2,AH131&lt;=17,W132=0,X130&gt;DATE(AH132+1911,8,1),AH137&gt;=57,AH138&gt;=24),AH132+1&amp;".2.1",IF(AND(AH131&gt;=2,AH131&lt;=17,W132=0,X130&gt;DATE(AH132+1911,8,1)),AH132+1&amp;".2.1",""))))))</f>
        <v>116.2.1</v>
      </c>
      <c r="AI156" s="139"/>
      <c r="AP156" s="27"/>
      <c r="AQ156" s="27"/>
      <c r="AR156" s="27"/>
      <c r="AX156" s="140"/>
      <c r="AY156" s="140"/>
      <c r="AZ156" s="140"/>
      <c r="BA156" s="140"/>
      <c r="BB156" s="140"/>
      <c r="BW156" s="7"/>
      <c r="BX156" s="7"/>
      <c r="BY156" s="20"/>
      <c r="BZ156" s="2"/>
      <c r="CA156" s="181"/>
      <c r="CB156" s="2"/>
      <c r="CC156" s="2"/>
      <c r="CD156" s="181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>
        <f t="shared" si="175"/>
      </c>
      <c r="CR156" s="2">
        <f aca="true" t="shared" si="208" ref="CR156:CR166">IF(CP156="","",IF(CQ156="",IF(OR(AND(CP156&gt;7,OR(AND(CA156&gt;1,CA156&lt;=7),AND(CD156&gt;1,CD156&lt;=7))),AND(CP156&gt;7,OR(RIGHT(BZ156,4)=".8.1",RIGHT(CC156,4)=".8.1"))),BY156+1&amp;".8.1。【說明：原實際條件成就之日期為"&amp;CO156&amp;"，惟因須配合學期暨受次年度指標數增加之影響，而必須二次遞延至當學年度結束之次日，始能退休生效，爰推算為"&amp;BY156+1&amp;".8.1】",BY156+2&amp;".2.1。【說明：原實際條件成就之日期為"&amp;CO156&amp;"，惟因須配合學期暨受次年度指標數增加之影響，而必須三次遞延至次學年度第一學期結束之次日，始能退休生效，爰推算為"&amp;BY156+2&amp;".2.1】"),""))</f>
      </c>
      <c r="CS156" s="128"/>
      <c r="CT156" s="2"/>
      <c r="CU156" s="2"/>
      <c r="CV156" s="128"/>
      <c r="CW156" s="2"/>
      <c r="CX156" s="2"/>
      <c r="CY156" s="128"/>
      <c r="CZ156" s="2"/>
      <c r="DA156" s="2"/>
      <c r="DB156" s="128"/>
      <c r="DC156" s="2">
        <f t="shared" si="204"/>
      </c>
      <c r="DD156" s="2">
        <f t="shared" si="205"/>
      </c>
      <c r="DE156" s="128">
        <f aca="true" t="shared" si="209" ref="DE156:DE167">IF(DC156="","",IF(RIGHT(DD156,4)=".8.1",BY156&amp;".8.1",IF(RIGHT(DD156,4)=".2.1",BY156&amp;".2.1",IF(DC156=1,BY156&amp;".2.1。【說明：原實際條件成就時間為"&amp;DD156&amp;"，惟因必須配合學期而延至當學期結束之次日，始能退休生效，爰推算為"&amp;BY156&amp;".2.1】",IF(AND(DC156&lt;=7,DC156&gt;1),BY156&amp;".8.1。【說明：原實際條件成就時間為"&amp;DD156&amp;"，惟因必須配合學期而延至當學年度結束之次日，始能退休生效，爰推算為"&amp;BY156&amp;".8.1】",BY156+1&amp;".2.1。【說明：原實際條件成就時間為"&amp;DD156&amp;"，惟因必須配合學期而延至當學期結束之次日，始能退休生效，爰推算為"&amp;BY156+1&amp;".2.1】")))))</f>
      </c>
      <c r="DF156" s="2"/>
      <c r="DG156" s="2"/>
      <c r="DH156" s="128"/>
      <c r="DI156" s="2">
        <f t="shared" si="206"/>
      </c>
      <c r="DJ156" s="2">
        <f t="shared" si="207"/>
      </c>
      <c r="DK156" s="128">
        <f t="shared" si="203"/>
      </c>
      <c r="DL156" s="128"/>
      <c r="DM156" s="21"/>
      <c r="DN156" s="2"/>
      <c r="DO156" s="2"/>
      <c r="DP156" s="2"/>
      <c r="DQ156" s="2"/>
      <c r="DR156" s="2"/>
      <c r="DS156" s="2"/>
      <c r="DT156" s="2"/>
      <c r="DU156" s="2"/>
      <c r="DV156" s="10"/>
      <c r="DW156" s="2"/>
      <c r="DX156" s="2"/>
      <c r="EB156" s="212"/>
      <c r="EC156" s="212"/>
      <c r="ED156" s="212"/>
      <c r="EN156" s="318"/>
      <c r="EO156" s="137"/>
      <c r="EP156" s="318"/>
      <c r="EQ156" s="318"/>
    </row>
    <row r="157" spans="2:147" s="136" customFormat="1" ht="16.5" hidden="1">
      <c r="B157" s="53"/>
      <c r="C157" s="53"/>
      <c r="D157" s="26"/>
      <c r="E157" s="26"/>
      <c r="F157" s="26"/>
      <c r="G157" s="53"/>
      <c r="H157" s="132"/>
      <c r="I157" s="132"/>
      <c r="J157" s="53"/>
      <c r="K157" s="117"/>
      <c r="L157" s="117"/>
      <c r="M157" s="117"/>
      <c r="N157" s="537"/>
      <c r="O157" s="537"/>
      <c r="P157" s="537"/>
      <c r="Q157" s="537"/>
      <c r="R157" s="134"/>
      <c r="S157" s="133"/>
      <c r="T157" s="133"/>
      <c r="U157" s="133"/>
      <c r="V157" s="592"/>
      <c r="W157" s="593"/>
      <c r="X157" s="593"/>
      <c r="Y157" s="593"/>
      <c r="Z157" s="247" t="s">
        <v>129</v>
      </c>
      <c r="AA157" s="139"/>
      <c r="AB157" s="283"/>
      <c r="AC157" s="283"/>
      <c r="AD157" s="239"/>
      <c r="AE157" s="239"/>
      <c r="AF157" s="139"/>
      <c r="AH157" s="265">
        <f>IF(W132&lt;&gt;1,"",IF(AND(AH131&gt;=2,AH131&lt;=17,W132=1,X130&lt;=DATE(AH132+1911,2,1)),AH132&amp;".2.1",IF(AND(AH131&gt;=2,AH131&lt;=17,W132=1,X130&lt;=DATE(AH132+1911,8,1)),AH132&amp;".8.1",AH132+1&amp;".2.1")))</f>
      </c>
      <c r="AP157" s="27"/>
      <c r="AQ157" s="27"/>
      <c r="AR157" s="27"/>
      <c r="AX157" s="140"/>
      <c r="AY157" s="140"/>
      <c r="AZ157" s="140"/>
      <c r="BA157" s="140"/>
      <c r="BB157" s="140"/>
      <c r="BW157" s="7"/>
      <c r="BX157" s="7"/>
      <c r="BY157" s="20"/>
      <c r="BZ157" s="2"/>
      <c r="CA157" s="181"/>
      <c r="CB157" s="2"/>
      <c r="CC157" s="2"/>
      <c r="CD157" s="181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>
        <f t="shared" si="175"/>
      </c>
      <c r="CR157" s="2">
        <f t="shared" si="208"/>
      </c>
      <c r="CS157" s="128"/>
      <c r="CT157" s="2"/>
      <c r="CU157" s="2"/>
      <c r="CV157" s="128"/>
      <c r="CW157" s="2"/>
      <c r="CX157" s="2"/>
      <c r="CY157" s="128"/>
      <c r="CZ157" s="2"/>
      <c r="DA157" s="2"/>
      <c r="DB157" s="128"/>
      <c r="DC157" s="2">
        <f t="shared" si="204"/>
      </c>
      <c r="DD157" s="2">
        <f t="shared" si="205"/>
      </c>
      <c r="DE157" s="128">
        <f t="shared" si="209"/>
      </c>
      <c r="DF157" s="2"/>
      <c r="DG157" s="2"/>
      <c r="DH157" s="128"/>
      <c r="DI157" s="2">
        <f t="shared" si="206"/>
      </c>
      <c r="DJ157" s="2">
        <f t="shared" si="207"/>
      </c>
      <c r="DK157" s="128">
        <f t="shared" si="203"/>
      </c>
      <c r="DL157" s="128"/>
      <c r="DM157" s="21"/>
      <c r="DN157" s="2"/>
      <c r="DO157" s="2"/>
      <c r="DP157" s="2"/>
      <c r="DQ157" s="2"/>
      <c r="DR157" s="2"/>
      <c r="DS157" s="2"/>
      <c r="DT157" s="2"/>
      <c r="DU157" s="2"/>
      <c r="DV157" s="10"/>
      <c r="DW157" s="2"/>
      <c r="DX157" s="2"/>
      <c r="EB157" s="212"/>
      <c r="EC157" s="212"/>
      <c r="ED157" s="212"/>
      <c r="EN157" s="318"/>
      <c r="EO157" s="137"/>
      <c r="EP157" s="318"/>
      <c r="EQ157" s="318"/>
    </row>
    <row r="158" spans="2:147" s="136" customFormat="1" ht="16.5" hidden="1">
      <c r="B158" s="53"/>
      <c r="C158" s="53"/>
      <c r="D158" s="26"/>
      <c r="E158" s="26"/>
      <c r="F158" s="26"/>
      <c r="G158" s="53"/>
      <c r="H158" s="132"/>
      <c r="I158" s="132"/>
      <c r="J158" s="53"/>
      <c r="K158" s="117"/>
      <c r="L158" s="117"/>
      <c r="M158" s="117"/>
      <c r="N158" s="537"/>
      <c r="O158" s="537"/>
      <c r="P158" s="537"/>
      <c r="Q158" s="537"/>
      <c r="R158" s="134"/>
      <c r="S158" s="133"/>
      <c r="T158" s="133"/>
      <c r="U158" s="133"/>
      <c r="V158" s="592"/>
      <c r="W158" s="593"/>
      <c r="X158" s="593"/>
      <c r="Y158" s="593"/>
      <c r="Z158" s="247" t="s">
        <v>128</v>
      </c>
      <c r="AA158" s="139"/>
      <c r="AB158" s="283"/>
      <c r="AC158" s="283"/>
      <c r="AD158" s="239"/>
      <c r="AE158" s="239"/>
      <c r="AF158" s="139"/>
      <c r="AH158" s="266">
        <f>IF(AND(AH131&gt;=2,AH131&lt;=16,W132&gt;=2,X130&lt;=DATE(AH132+1911,2,1)),AH132&amp;".2.1",IF(AND(AH131&gt;=2,AH131&lt;=16,W132&gt;=2,X130&lt;=DATE(AH132+1911,8,1)),AH132&amp;".8.1",IF(AND(AH131&gt;=2,AH131&lt;=16,W132&gt;=2,X130&gt;DATE(AH132+1911,8,1)),AH132+1&amp;".2.1","")))</f>
      </c>
      <c r="AP158" s="27"/>
      <c r="AQ158" s="27"/>
      <c r="AR158" s="27"/>
      <c r="AX158" s="140"/>
      <c r="AY158" s="140"/>
      <c r="AZ158" s="140"/>
      <c r="BA158" s="140"/>
      <c r="BB158" s="140"/>
      <c r="BW158" s="7"/>
      <c r="BX158" s="7"/>
      <c r="BY158" s="20"/>
      <c r="BZ158" s="2"/>
      <c r="CA158" s="181"/>
      <c r="CB158" s="2"/>
      <c r="CC158" s="2"/>
      <c r="CD158" s="181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>
        <f t="shared" si="175"/>
      </c>
      <c r="CR158" s="2">
        <f t="shared" si="208"/>
      </c>
      <c r="CS158" s="128"/>
      <c r="CT158" s="2"/>
      <c r="CU158" s="2"/>
      <c r="CV158" s="128"/>
      <c r="CW158" s="2"/>
      <c r="CX158" s="2"/>
      <c r="CY158" s="128"/>
      <c r="CZ158" s="2"/>
      <c r="DA158" s="2"/>
      <c r="DB158" s="128"/>
      <c r="DC158" s="2">
        <f t="shared" si="204"/>
      </c>
      <c r="DD158" s="2">
        <f t="shared" si="205"/>
      </c>
      <c r="DE158" s="128">
        <f t="shared" si="209"/>
      </c>
      <c r="DF158" s="2"/>
      <c r="DG158" s="2"/>
      <c r="DH158" s="128"/>
      <c r="DI158" s="2">
        <f t="shared" si="206"/>
      </c>
      <c r="DJ158" s="2">
        <f t="shared" si="207"/>
      </c>
      <c r="DK158" s="128">
        <f t="shared" si="203"/>
      </c>
      <c r="DL158" s="128"/>
      <c r="DM158" s="21"/>
      <c r="DN158" s="2"/>
      <c r="DO158" s="2"/>
      <c r="DP158" s="2"/>
      <c r="DQ158" s="2"/>
      <c r="DR158" s="2"/>
      <c r="DS158" s="2"/>
      <c r="DT158" s="2"/>
      <c r="DU158" s="2"/>
      <c r="DV158" s="10"/>
      <c r="DW158" s="2"/>
      <c r="DX158" s="2"/>
      <c r="EB158" s="212"/>
      <c r="EC158" s="212"/>
      <c r="ED158" s="212"/>
      <c r="EN158" s="318"/>
      <c r="EO158" s="137"/>
      <c r="EP158" s="318"/>
      <c r="EQ158" s="318"/>
    </row>
    <row r="159" spans="2:147" s="136" customFormat="1" ht="15.75" customHeight="1" hidden="1">
      <c r="B159" s="53"/>
      <c r="C159" s="53"/>
      <c r="D159" s="26"/>
      <c r="E159" s="26"/>
      <c r="F159" s="26"/>
      <c r="G159" s="53"/>
      <c r="H159" s="132"/>
      <c r="I159" s="132"/>
      <c r="J159" s="53"/>
      <c r="K159" s="117"/>
      <c r="L159" s="117"/>
      <c r="M159" s="117"/>
      <c r="N159" s="537"/>
      <c r="O159" s="537"/>
      <c r="P159" s="537"/>
      <c r="Q159" s="537"/>
      <c r="R159" s="134"/>
      <c r="S159" s="133"/>
      <c r="T159" s="133"/>
      <c r="U159" s="133"/>
      <c r="V159" s="592"/>
      <c r="W159" s="593"/>
      <c r="X159" s="593"/>
      <c r="Y159" s="593"/>
      <c r="Z159" s="246" t="s">
        <v>131</v>
      </c>
      <c r="AA159" s="139"/>
      <c r="AB159" s="139"/>
      <c r="AC159" s="139"/>
      <c r="AD159" s="239"/>
      <c r="AE159" s="239"/>
      <c r="AF159" s="139"/>
      <c r="AH159" s="340">
        <f>IF(OR(AND(AH137&gt;=60,AH138&gt;=15),AND(AH137&gt;=58,AH138&gt;=25)),DM5,"")</f>
      </c>
      <c r="AI159" s="321">
        <f>IF(AH159="","",LEFT(AH159,7))</f>
      </c>
      <c r="AP159" s="27"/>
      <c r="AQ159" s="27"/>
      <c r="AR159" s="27"/>
      <c r="AX159" s="140"/>
      <c r="AY159" s="140"/>
      <c r="AZ159" s="140"/>
      <c r="BA159" s="140"/>
      <c r="BB159" s="140"/>
      <c r="BW159" s="7"/>
      <c r="BX159" s="7"/>
      <c r="BY159" s="20"/>
      <c r="BZ159" s="2"/>
      <c r="CA159" s="181"/>
      <c r="CB159" s="2"/>
      <c r="CC159" s="2"/>
      <c r="CD159" s="181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>
        <f t="shared" si="175"/>
      </c>
      <c r="CR159" s="2">
        <f t="shared" si="208"/>
      </c>
      <c r="CS159" s="128"/>
      <c r="CT159" s="2"/>
      <c r="CU159" s="2"/>
      <c r="CV159" s="128"/>
      <c r="CW159" s="2"/>
      <c r="CX159" s="2"/>
      <c r="CY159" s="128"/>
      <c r="CZ159" s="2"/>
      <c r="DA159" s="2"/>
      <c r="DB159" s="128"/>
      <c r="DC159" s="2">
        <f t="shared" si="204"/>
      </c>
      <c r="DD159" s="2">
        <f t="shared" si="205"/>
      </c>
      <c r="DE159" s="128">
        <f t="shared" si="209"/>
      </c>
      <c r="DF159" s="2"/>
      <c r="DG159" s="2"/>
      <c r="DH159" s="128"/>
      <c r="DI159" s="2">
        <f t="shared" si="206"/>
      </c>
      <c r="DJ159" s="2">
        <f t="shared" si="207"/>
      </c>
      <c r="DK159" s="128">
        <f t="shared" si="203"/>
      </c>
      <c r="DL159" s="128"/>
      <c r="DM159" s="21"/>
      <c r="DN159" s="2"/>
      <c r="DO159" s="2"/>
      <c r="DP159" s="2"/>
      <c r="DQ159" s="2"/>
      <c r="DR159" s="2"/>
      <c r="DS159" s="2"/>
      <c r="DT159" s="2"/>
      <c r="DU159" s="2"/>
      <c r="DV159" s="10"/>
      <c r="DW159" s="2"/>
      <c r="DX159" s="2"/>
      <c r="EB159" s="212"/>
      <c r="EC159" s="212"/>
      <c r="ED159" s="212"/>
      <c r="EN159" s="318"/>
      <c r="EO159" s="137"/>
      <c r="EP159" s="318"/>
      <c r="EQ159" s="318"/>
    </row>
    <row r="160" spans="2:147" s="136" customFormat="1" ht="15.75" customHeight="1" hidden="1">
      <c r="B160" s="53"/>
      <c r="C160" s="53"/>
      <c r="D160" s="26"/>
      <c r="E160" s="26"/>
      <c r="F160" s="26"/>
      <c r="G160" s="53"/>
      <c r="H160" s="132"/>
      <c r="I160" s="132"/>
      <c r="J160" s="53"/>
      <c r="K160" s="117"/>
      <c r="L160" s="117"/>
      <c r="M160" s="117"/>
      <c r="N160" s="537"/>
      <c r="O160" s="537"/>
      <c r="P160" s="537"/>
      <c r="Q160" s="537"/>
      <c r="R160" s="134"/>
      <c r="S160" s="133"/>
      <c r="T160" s="133"/>
      <c r="U160" s="133"/>
      <c r="V160" s="592"/>
      <c r="W160" s="593"/>
      <c r="X160" s="593"/>
      <c r="Y160" s="593"/>
      <c r="Z160" s="246" t="s">
        <v>132</v>
      </c>
      <c r="AA160" s="139"/>
      <c r="AB160" s="139"/>
      <c r="AC160" s="139"/>
      <c r="AD160" s="239"/>
      <c r="AE160" s="239"/>
      <c r="AF160" s="139"/>
      <c r="AH160" s="267" t="str">
        <f>IF(AH156="","",IF(LEFT(AH156,1)="但",AH156,"但經推算，您條件成就之日期雖為"&amp;W130&amp;"，惟因須配合學期而延後，實際可申請退休之日期為"&amp;AH156))</f>
        <v>但經推算，您條件成就之日期雖為115.9.28，惟因須配合學期而延後，實際可申請退休之日期為116.2.1</v>
      </c>
      <c r="AI160" s="321" t="str">
        <f>IF(AH160="","",RIGHT(AH160,7))</f>
        <v>116.2.1</v>
      </c>
      <c r="AP160" s="27"/>
      <c r="AQ160" s="27"/>
      <c r="AR160" s="27"/>
      <c r="AX160" s="140"/>
      <c r="AY160" s="140"/>
      <c r="AZ160" s="140"/>
      <c r="BA160" s="140"/>
      <c r="BB160" s="140"/>
      <c r="BW160" s="7"/>
      <c r="BX160" s="7"/>
      <c r="BY160" s="20"/>
      <c r="BZ160" s="2"/>
      <c r="CA160" s="181"/>
      <c r="CB160" s="2"/>
      <c r="CC160" s="2"/>
      <c r="CD160" s="181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>
        <f t="shared" si="175"/>
      </c>
      <c r="CR160" s="2">
        <f t="shared" si="208"/>
      </c>
      <c r="CS160" s="128"/>
      <c r="CT160" s="2"/>
      <c r="CU160" s="2"/>
      <c r="CV160" s="128"/>
      <c r="CW160" s="2"/>
      <c r="CX160" s="2"/>
      <c r="CY160" s="128"/>
      <c r="CZ160" s="2"/>
      <c r="DA160" s="2"/>
      <c r="DB160" s="128"/>
      <c r="DC160" s="2">
        <f t="shared" si="204"/>
      </c>
      <c r="DD160" s="2">
        <f t="shared" si="205"/>
      </c>
      <c r="DE160" s="128">
        <f t="shared" si="209"/>
      </c>
      <c r="DF160" s="2"/>
      <c r="DG160" s="2"/>
      <c r="DH160" s="128"/>
      <c r="DI160" s="2">
        <f t="shared" si="206"/>
      </c>
      <c r="DJ160" s="2">
        <f t="shared" si="207"/>
      </c>
      <c r="DK160" s="128">
        <f t="shared" si="203"/>
      </c>
      <c r="DL160" s="128"/>
      <c r="DM160" s="21"/>
      <c r="DN160" s="2"/>
      <c r="DO160" s="2"/>
      <c r="DP160" s="2"/>
      <c r="DQ160" s="2"/>
      <c r="DR160" s="2"/>
      <c r="DS160" s="2"/>
      <c r="DT160" s="2"/>
      <c r="DU160" s="2"/>
      <c r="DV160" s="10"/>
      <c r="DW160" s="2"/>
      <c r="DX160" s="2"/>
      <c r="EB160" s="212"/>
      <c r="EC160" s="212"/>
      <c r="ED160" s="212"/>
      <c r="EN160" s="318"/>
      <c r="EO160" s="137"/>
      <c r="EP160" s="318"/>
      <c r="EQ160" s="318"/>
    </row>
    <row r="161" spans="2:147" s="136" customFormat="1" ht="15.75" customHeight="1" hidden="1">
      <c r="B161" s="53"/>
      <c r="C161" s="53"/>
      <c r="D161" s="26"/>
      <c r="E161" s="26"/>
      <c r="F161" s="26"/>
      <c r="G161" s="53"/>
      <c r="H161" s="132"/>
      <c r="I161" s="132"/>
      <c r="J161" s="53"/>
      <c r="K161" s="117"/>
      <c r="L161" s="117"/>
      <c r="M161" s="117"/>
      <c r="N161" s="537"/>
      <c r="O161" s="537"/>
      <c r="P161" s="537"/>
      <c r="Q161" s="537"/>
      <c r="R161" s="134"/>
      <c r="S161" s="133"/>
      <c r="T161" s="133"/>
      <c r="U161" s="133"/>
      <c r="V161" s="592"/>
      <c r="W161" s="593"/>
      <c r="X161" s="593"/>
      <c r="Y161" s="593"/>
      <c r="Z161" s="246" t="s">
        <v>133</v>
      </c>
      <c r="AA161" s="139"/>
      <c r="AB161" s="139"/>
      <c r="AC161" s="139"/>
      <c r="AD161" s="239"/>
      <c r="AE161" s="239"/>
      <c r="AF161" s="139"/>
      <c r="AH161" s="268">
        <f>IF(AH157="","",IF(OR(AND(AH137&gt;=60,AH138&gt;=15),AND(AH137&gt;=58,AH138&gt;=25)),"",AH157&amp;"。【您條件成就之日期雖為"&amp;W130&amp;"，惟因須配合學期而延後，實際可申請退休之日期為"&amp;AH157&amp;"】"))</f>
      </c>
      <c r="AI161" s="321">
        <f>IF(AH161="","",LEFT(AH161,7))</f>
      </c>
      <c r="AP161" s="27"/>
      <c r="AQ161" s="27"/>
      <c r="AR161" s="27"/>
      <c r="AX161" s="140"/>
      <c r="AY161" s="140"/>
      <c r="AZ161" s="140"/>
      <c r="BA161" s="140"/>
      <c r="BB161" s="140"/>
      <c r="BW161" s="7"/>
      <c r="BX161" s="7"/>
      <c r="BY161" s="20"/>
      <c r="BZ161" s="2"/>
      <c r="CA161" s="181"/>
      <c r="CB161" s="2"/>
      <c r="CC161" s="2"/>
      <c r="CD161" s="181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>
        <f t="shared" si="175"/>
      </c>
      <c r="CR161" s="2">
        <f t="shared" si="208"/>
      </c>
      <c r="CS161" s="128"/>
      <c r="CT161" s="2"/>
      <c r="CU161" s="2"/>
      <c r="CV161" s="128"/>
      <c r="CW161" s="2"/>
      <c r="CX161" s="2"/>
      <c r="CY161" s="128"/>
      <c r="CZ161" s="2"/>
      <c r="DA161" s="2"/>
      <c r="DB161" s="128"/>
      <c r="DC161" s="2">
        <f t="shared" si="204"/>
      </c>
      <c r="DD161" s="2">
        <f t="shared" si="205"/>
      </c>
      <c r="DE161" s="128">
        <f t="shared" si="209"/>
      </c>
      <c r="DF161" s="2"/>
      <c r="DG161" s="2"/>
      <c r="DH161" s="128"/>
      <c r="DI161" s="2">
        <f t="shared" si="206"/>
      </c>
      <c r="DJ161" s="2">
        <f t="shared" si="207"/>
      </c>
      <c r="DK161" s="128">
        <f t="shared" si="203"/>
      </c>
      <c r="DL161" s="128"/>
      <c r="DM161" s="21"/>
      <c r="DN161" s="2"/>
      <c r="DO161" s="2"/>
      <c r="DP161" s="2"/>
      <c r="DQ161" s="2"/>
      <c r="DR161" s="2"/>
      <c r="DS161" s="2"/>
      <c r="DT161" s="2"/>
      <c r="DU161" s="2"/>
      <c r="DV161" s="10"/>
      <c r="DW161" s="2"/>
      <c r="DX161" s="2"/>
      <c r="EB161" s="212"/>
      <c r="EC161" s="212"/>
      <c r="ED161" s="212"/>
      <c r="EN161" s="318"/>
      <c r="EO161" s="137"/>
      <c r="EP161" s="318"/>
      <c r="EQ161" s="318"/>
    </row>
    <row r="162" spans="2:147" s="136" customFormat="1" ht="16.5" hidden="1">
      <c r="B162" s="53"/>
      <c r="C162" s="53"/>
      <c r="D162" s="26"/>
      <c r="E162" s="26"/>
      <c r="F162" s="26"/>
      <c r="G162" s="53"/>
      <c r="H162" s="132"/>
      <c r="I162" s="132"/>
      <c r="J162" s="53"/>
      <c r="K162" s="117"/>
      <c r="L162" s="117"/>
      <c r="M162" s="117"/>
      <c r="N162" s="537"/>
      <c r="O162" s="537"/>
      <c r="P162" s="537"/>
      <c r="Q162" s="537"/>
      <c r="R162" s="134"/>
      <c r="S162" s="133"/>
      <c r="T162" s="133"/>
      <c r="U162" s="133"/>
      <c r="V162" s="243"/>
      <c r="W162" s="243"/>
      <c r="X162" s="243"/>
      <c r="Y162" s="243"/>
      <c r="Z162" s="239"/>
      <c r="AA162" s="239"/>
      <c r="AB162" s="139"/>
      <c r="AC162" s="139"/>
      <c r="AD162" s="239"/>
      <c r="AE162" s="239"/>
      <c r="AF162" s="139"/>
      <c r="AH162" s="268">
        <f>IF(AH158="","","茲經推算，您條件成就之日期雖為"&amp;W130&amp;"，惟因須配合學期而延後，實際可申請退休之日期為"&amp;AH158)</f>
      </c>
      <c r="AI162" s="321">
        <f>IF(AH162="","",RIGHT(AH162,7))</f>
      </c>
      <c r="AP162" s="27"/>
      <c r="AQ162" s="27"/>
      <c r="AR162" s="27"/>
      <c r="AX162" s="140"/>
      <c r="AY162" s="140"/>
      <c r="AZ162" s="140"/>
      <c r="BA162" s="140"/>
      <c r="BB162" s="140"/>
      <c r="BW162" s="7"/>
      <c r="BX162" s="7"/>
      <c r="BY162" s="20"/>
      <c r="BZ162" s="2"/>
      <c r="CA162" s="181"/>
      <c r="CB162" s="2"/>
      <c r="CC162" s="2"/>
      <c r="CD162" s="181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>
        <f t="shared" si="175"/>
      </c>
      <c r="CR162" s="2">
        <f t="shared" si="208"/>
      </c>
      <c r="CS162" s="128"/>
      <c r="CT162" s="2"/>
      <c r="CU162" s="2"/>
      <c r="CV162" s="128"/>
      <c r="CW162" s="2"/>
      <c r="CX162" s="2"/>
      <c r="CY162" s="128"/>
      <c r="CZ162" s="2"/>
      <c r="DA162" s="2"/>
      <c r="DB162" s="128"/>
      <c r="DC162" s="2">
        <f t="shared" si="204"/>
      </c>
      <c r="DD162" s="2">
        <f t="shared" si="205"/>
      </c>
      <c r="DE162" s="128">
        <f t="shared" si="209"/>
      </c>
      <c r="DF162" s="2"/>
      <c r="DG162" s="2"/>
      <c r="DH162" s="128"/>
      <c r="DI162" s="2">
        <f t="shared" si="206"/>
      </c>
      <c r="DJ162" s="2">
        <f t="shared" si="207"/>
      </c>
      <c r="DK162" s="128">
        <f t="shared" si="203"/>
      </c>
      <c r="DL162" s="128"/>
      <c r="DM162" s="21"/>
      <c r="DN162" s="2"/>
      <c r="DO162" s="2"/>
      <c r="DP162" s="2"/>
      <c r="DQ162" s="2"/>
      <c r="DR162" s="2"/>
      <c r="DS162" s="2"/>
      <c r="DT162" s="2"/>
      <c r="DU162" s="2"/>
      <c r="DV162" s="10"/>
      <c r="DW162" s="2"/>
      <c r="DX162" s="2"/>
      <c r="EB162" s="212"/>
      <c r="EC162" s="212"/>
      <c r="ED162" s="212"/>
      <c r="EN162" s="318"/>
      <c r="EO162" s="137"/>
      <c r="EP162" s="318"/>
      <c r="EQ162" s="318"/>
    </row>
    <row r="163" spans="2:147" s="136" customFormat="1" ht="16.5" hidden="1">
      <c r="B163" s="53"/>
      <c r="C163" s="53"/>
      <c r="D163" s="26"/>
      <c r="E163" s="26"/>
      <c r="F163" s="26"/>
      <c r="G163" s="53"/>
      <c r="H163" s="132"/>
      <c r="I163" s="132"/>
      <c r="J163" s="53"/>
      <c r="K163" s="117"/>
      <c r="L163" s="117"/>
      <c r="M163" s="117"/>
      <c r="N163" s="537"/>
      <c r="O163" s="537"/>
      <c r="P163" s="537"/>
      <c r="Q163" s="537"/>
      <c r="R163" s="134"/>
      <c r="S163" s="133"/>
      <c r="T163" s="133"/>
      <c r="U163" s="133"/>
      <c r="V163" s="243"/>
      <c r="W163" s="243"/>
      <c r="X163" s="243"/>
      <c r="Y163" s="243"/>
      <c r="Z163" s="590" t="s">
        <v>139</v>
      </c>
      <c r="AA163" s="591"/>
      <c r="AB163" s="591"/>
      <c r="AC163" s="591"/>
      <c r="AD163" s="591"/>
      <c r="AE163" s="591"/>
      <c r="AF163" s="591"/>
      <c r="AG163" s="281"/>
      <c r="AH163" s="259"/>
      <c r="AI163" s="139"/>
      <c r="AP163" s="27"/>
      <c r="AQ163" s="27"/>
      <c r="AR163" s="27"/>
      <c r="AX163" s="140"/>
      <c r="AY163" s="140"/>
      <c r="AZ163" s="140"/>
      <c r="BA163" s="140"/>
      <c r="BB163" s="140"/>
      <c r="BW163" s="7"/>
      <c r="BX163" s="7"/>
      <c r="BY163" s="20"/>
      <c r="BZ163" s="2"/>
      <c r="CA163" s="181"/>
      <c r="CB163" s="2"/>
      <c r="CC163" s="2"/>
      <c r="CD163" s="181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>
        <f t="shared" si="175"/>
      </c>
      <c r="CR163" s="2">
        <f t="shared" si="208"/>
      </c>
      <c r="CS163" s="128"/>
      <c r="CT163" s="2"/>
      <c r="CU163" s="2"/>
      <c r="CV163" s="128"/>
      <c r="CW163" s="2"/>
      <c r="CX163" s="2"/>
      <c r="CY163" s="128"/>
      <c r="CZ163" s="2"/>
      <c r="DA163" s="2"/>
      <c r="DB163" s="128"/>
      <c r="DC163" s="2">
        <f t="shared" si="204"/>
      </c>
      <c r="DD163" s="2">
        <f t="shared" si="205"/>
      </c>
      <c r="DE163" s="128">
        <f t="shared" si="209"/>
      </c>
      <c r="DF163" s="2"/>
      <c r="DG163" s="2"/>
      <c r="DH163" s="128"/>
      <c r="DI163" s="2">
        <f t="shared" si="206"/>
      </c>
      <c r="DJ163" s="2">
        <f t="shared" si="207"/>
      </c>
      <c r="DK163" s="128">
        <f t="shared" si="203"/>
      </c>
      <c r="DL163" s="128"/>
      <c r="DM163" s="21"/>
      <c r="DN163" s="2"/>
      <c r="DO163" s="2"/>
      <c r="DP163" s="2"/>
      <c r="DQ163" s="2"/>
      <c r="DR163" s="2"/>
      <c r="DS163" s="2"/>
      <c r="DT163" s="2"/>
      <c r="DU163" s="2"/>
      <c r="DV163" s="10"/>
      <c r="DW163" s="2"/>
      <c r="DX163" s="2"/>
      <c r="EB163" s="212"/>
      <c r="EC163" s="212"/>
      <c r="ED163" s="212"/>
      <c r="EN163" s="318"/>
      <c r="EO163" s="137"/>
      <c r="EP163" s="318"/>
      <c r="EQ163" s="318"/>
    </row>
    <row r="164" spans="2:147" s="136" customFormat="1" ht="16.5" hidden="1">
      <c r="B164" s="53"/>
      <c r="C164" s="53"/>
      <c r="D164" s="26"/>
      <c r="E164" s="26"/>
      <c r="F164" s="26"/>
      <c r="G164" s="53"/>
      <c r="H164" s="132"/>
      <c r="I164" s="132"/>
      <c r="J164" s="53"/>
      <c r="K164" s="117"/>
      <c r="L164" s="117"/>
      <c r="M164" s="117"/>
      <c r="N164" s="537"/>
      <c r="O164" s="537"/>
      <c r="P164" s="537"/>
      <c r="Q164" s="537"/>
      <c r="R164" s="134"/>
      <c r="S164" s="133"/>
      <c r="T164" s="133"/>
      <c r="U164" s="133"/>
      <c r="V164" s="243"/>
      <c r="W164" s="243"/>
      <c r="X164" s="243"/>
      <c r="Y164" s="243"/>
      <c r="Z164" s="239"/>
      <c r="AA164" s="239"/>
      <c r="AB164" s="139"/>
      <c r="AC164" s="139"/>
      <c r="AD164" s="239"/>
      <c r="AE164" s="239"/>
      <c r="AF164" s="139"/>
      <c r="AG164" s="251"/>
      <c r="AH164" s="259"/>
      <c r="AP164" s="27"/>
      <c r="AQ164" s="27"/>
      <c r="AR164" s="27"/>
      <c r="AX164" s="140"/>
      <c r="AY164" s="140"/>
      <c r="AZ164" s="140"/>
      <c r="BA164" s="140"/>
      <c r="BB164" s="140"/>
      <c r="BW164" s="7"/>
      <c r="BX164" s="7"/>
      <c r="BY164" s="20"/>
      <c r="BZ164" s="2"/>
      <c r="CA164" s="181"/>
      <c r="CB164" s="2"/>
      <c r="CC164" s="2"/>
      <c r="CD164" s="181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>
        <f t="shared" si="175"/>
      </c>
      <c r="CR164" s="2">
        <f t="shared" si="208"/>
      </c>
      <c r="CS164" s="128"/>
      <c r="CT164" s="2"/>
      <c r="CU164" s="2"/>
      <c r="CV164" s="128"/>
      <c r="CW164" s="2"/>
      <c r="CX164" s="2"/>
      <c r="CY164" s="128"/>
      <c r="CZ164" s="2"/>
      <c r="DA164" s="2"/>
      <c r="DB164" s="128"/>
      <c r="DC164" s="2">
        <f t="shared" si="204"/>
      </c>
      <c r="DD164" s="2">
        <f t="shared" si="205"/>
      </c>
      <c r="DE164" s="128">
        <f t="shared" si="209"/>
      </c>
      <c r="DF164" s="2"/>
      <c r="DG164" s="2"/>
      <c r="DH164" s="128"/>
      <c r="DI164" s="2">
        <f t="shared" si="206"/>
      </c>
      <c r="DJ164" s="2">
        <f t="shared" si="207"/>
      </c>
      <c r="DK164" s="128">
        <f t="shared" si="203"/>
      </c>
      <c r="DL164" s="128"/>
      <c r="DM164" s="21"/>
      <c r="DN164" s="2"/>
      <c r="DO164" s="2"/>
      <c r="DP164" s="2"/>
      <c r="DQ164" s="2"/>
      <c r="DR164" s="2"/>
      <c r="DS164" s="2"/>
      <c r="DT164" s="2"/>
      <c r="DU164" s="2"/>
      <c r="DV164" s="10"/>
      <c r="DW164" s="2"/>
      <c r="DX164" s="2"/>
      <c r="EB164" s="212"/>
      <c r="EC164" s="212"/>
      <c r="ED164" s="212"/>
      <c r="EN164" s="318"/>
      <c r="EO164" s="137"/>
      <c r="EP164" s="318"/>
      <c r="EQ164" s="318"/>
    </row>
    <row r="165" spans="2:147" s="136" customFormat="1" ht="16.5" hidden="1">
      <c r="B165" s="53"/>
      <c r="C165" s="53"/>
      <c r="D165" s="26"/>
      <c r="E165" s="26"/>
      <c r="F165" s="26"/>
      <c r="G165" s="53"/>
      <c r="H165" s="132"/>
      <c r="I165" s="132"/>
      <c r="J165" s="53"/>
      <c r="K165" s="117"/>
      <c r="L165" s="117"/>
      <c r="M165" s="117"/>
      <c r="N165" s="537"/>
      <c r="O165" s="537"/>
      <c r="P165" s="537"/>
      <c r="Q165" s="537"/>
      <c r="R165" s="134"/>
      <c r="S165" s="133"/>
      <c r="T165" s="133"/>
      <c r="U165" s="133"/>
      <c r="V165" s="243"/>
      <c r="W165" s="243"/>
      <c r="X165" s="243"/>
      <c r="Y165" s="243"/>
      <c r="Z165" s="240" t="s">
        <v>142</v>
      </c>
      <c r="AA165" s="239"/>
      <c r="AB165" s="139" t="str">
        <f>IF(AB131=0,"無符合年度",IF(AB138&gt;25,AB132&amp;".1.1",AB134))</f>
        <v>113.9.28</v>
      </c>
      <c r="AC165" s="139"/>
      <c r="AD165" s="239"/>
      <c r="AE165" s="239"/>
      <c r="AF165" s="139"/>
      <c r="AG165" s="280" t="str">
        <f>AB165</f>
        <v>113.9.28</v>
      </c>
      <c r="AH165" s="259"/>
      <c r="AP165" s="27"/>
      <c r="AQ165" s="27"/>
      <c r="AR165" s="27"/>
      <c r="AX165" s="140"/>
      <c r="AY165" s="140"/>
      <c r="AZ165" s="140"/>
      <c r="BA165" s="140"/>
      <c r="BB165" s="140"/>
      <c r="BW165" s="7"/>
      <c r="BX165" s="7"/>
      <c r="BY165" s="20"/>
      <c r="BZ165" s="2"/>
      <c r="CA165" s="181"/>
      <c r="CB165" s="2"/>
      <c r="CC165" s="2"/>
      <c r="CD165" s="181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>
        <f t="shared" si="175"/>
      </c>
      <c r="CR165" s="2">
        <f t="shared" si="208"/>
      </c>
      <c r="CS165" s="128"/>
      <c r="CT165" s="2"/>
      <c r="CU165" s="2"/>
      <c r="CV165" s="128"/>
      <c r="CW165" s="2"/>
      <c r="CX165" s="2"/>
      <c r="CY165" s="128"/>
      <c r="CZ165" s="2"/>
      <c r="DA165" s="2"/>
      <c r="DB165" s="128"/>
      <c r="DC165" s="2">
        <f t="shared" si="204"/>
      </c>
      <c r="DD165" s="2">
        <f t="shared" si="205"/>
      </c>
      <c r="DE165" s="128">
        <f t="shared" si="209"/>
      </c>
      <c r="DF165" s="2"/>
      <c r="DG165" s="2"/>
      <c r="DH165" s="128"/>
      <c r="DI165" s="2">
        <f t="shared" si="206"/>
      </c>
      <c r="DJ165" s="2">
        <f t="shared" si="207"/>
      </c>
      <c r="DK165" s="128">
        <f t="shared" si="203"/>
      </c>
      <c r="DL165" s="128"/>
      <c r="DM165" s="21"/>
      <c r="DN165" s="2"/>
      <c r="DO165" s="2"/>
      <c r="DP165" s="2"/>
      <c r="DQ165" s="2"/>
      <c r="DR165" s="2"/>
      <c r="DS165" s="2"/>
      <c r="DT165" s="2"/>
      <c r="DU165" s="2"/>
      <c r="DV165" s="10"/>
      <c r="DW165" s="2"/>
      <c r="DX165" s="2"/>
      <c r="EB165" s="212"/>
      <c r="EC165" s="212"/>
      <c r="ED165" s="212"/>
      <c r="EN165" s="318"/>
      <c r="EO165" s="137"/>
      <c r="EP165" s="318"/>
      <c r="EQ165" s="318"/>
    </row>
    <row r="166" spans="2:147" s="136" customFormat="1" ht="16.5" hidden="1">
      <c r="B166" s="53"/>
      <c r="C166" s="53"/>
      <c r="D166" s="26"/>
      <c r="E166" s="26"/>
      <c r="F166" s="26"/>
      <c r="G166" s="53"/>
      <c r="H166" s="132"/>
      <c r="I166" s="132"/>
      <c r="J166" s="53"/>
      <c r="K166" s="117"/>
      <c r="L166" s="117"/>
      <c r="M166" s="117"/>
      <c r="N166" s="537"/>
      <c r="O166" s="537"/>
      <c r="P166" s="537"/>
      <c r="Q166" s="537"/>
      <c r="R166" s="134"/>
      <c r="S166" s="133"/>
      <c r="T166" s="133"/>
      <c r="U166" s="133"/>
      <c r="V166" s="243"/>
      <c r="W166" s="243"/>
      <c r="X166" s="243"/>
      <c r="Y166" s="243"/>
      <c r="Z166" s="240" t="s">
        <v>143</v>
      </c>
      <c r="AA166" s="239"/>
      <c r="AB166" s="279">
        <f>IF(AB131=0,"無符合年度",IF(AB138&gt;25,DATE(AB132+1911,1,1),DATE(AB132+1911,AB9,AC9)))</f>
        <v>45563</v>
      </c>
      <c r="AC166" s="139"/>
      <c r="AD166" s="239"/>
      <c r="AE166" s="239"/>
      <c r="AF166" s="139"/>
      <c r="AG166" s="280"/>
      <c r="AH166" s="265" t="str">
        <f>CONCATENATE(AH156,AH157,AH158)</f>
        <v>116.2.1</v>
      </c>
      <c r="AP166" s="27"/>
      <c r="AQ166" s="27"/>
      <c r="AR166" s="27"/>
      <c r="AX166" s="140"/>
      <c r="AY166" s="140"/>
      <c r="AZ166" s="140"/>
      <c r="BA166" s="140"/>
      <c r="BB166" s="140"/>
      <c r="BW166" s="7"/>
      <c r="BX166" s="7"/>
      <c r="BY166" s="20"/>
      <c r="BZ166" s="2"/>
      <c r="CA166" s="181"/>
      <c r="CB166" s="2"/>
      <c r="CC166" s="2"/>
      <c r="CD166" s="181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>
        <f t="shared" si="175"/>
      </c>
      <c r="CR166" s="2">
        <f t="shared" si="208"/>
      </c>
      <c r="CS166" s="128"/>
      <c r="CT166" s="2"/>
      <c r="CU166" s="2"/>
      <c r="CV166" s="128"/>
      <c r="CW166" s="2"/>
      <c r="CX166" s="2"/>
      <c r="CY166" s="128"/>
      <c r="CZ166" s="2"/>
      <c r="DA166" s="2"/>
      <c r="DB166" s="128"/>
      <c r="DC166" s="2">
        <f t="shared" si="204"/>
      </c>
      <c r="DD166" s="2">
        <f t="shared" si="205"/>
      </c>
      <c r="DE166" s="128">
        <f t="shared" si="209"/>
      </c>
      <c r="DF166" s="2"/>
      <c r="DG166" s="2"/>
      <c r="DH166" s="128"/>
      <c r="DI166" s="2">
        <f t="shared" si="206"/>
      </c>
      <c r="DJ166" s="2">
        <f t="shared" si="207"/>
      </c>
      <c r="DK166" s="128">
        <f t="shared" si="203"/>
      </c>
      <c r="DL166" s="128"/>
      <c r="DM166" s="21"/>
      <c r="DN166" s="2"/>
      <c r="DO166" s="2"/>
      <c r="DP166" s="2"/>
      <c r="DQ166" s="2"/>
      <c r="DR166" s="2"/>
      <c r="DS166" s="2"/>
      <c r="DT166" s="2"/>
      <c r="DU166" s="2"/>
      <c r="DV166" s="10"/>
      <c r="DW166" s="2"/>
      <c r="DX166" s="2"/>
      <c r="EB166" s="212"/>
      <c r="EC166" s="212"/>
      <c r="ED166" s="212"/>
      <c r="EN166" s="318"/>
      <c r="EO166" s="137"/>
      <c r="EP166" s="318"/>
      <c r="EQ166" s="318"/>
    </row>
    <row r="167" spans="2:147" s="136" customFormat="1" ht="16.5" customHeight="1" hidden="1">
      <c r="B167" s="53"/>
      <c r="C167" s="53"/>
      <c r="D167" s="26"/>
      <c r="E167" s="26"/>
      <c r="F167" s="26"/>
      <c r="G167" s="53"/>
      <c r="H167" s="132"/>
      <c r="I167" s="132"/>
      <c r="J167" s="53"/>
      <c r="K167" s="117"/>
      <c r="L167" s="117"/>
      <c r="M167" s="117"/>
      <c r="N167" s="537"/>
      <c r="O167" s="537"/>
      <c r="P167" s="537"/>
      <c r="Q167" s="537"/>
      <c r="R167" s="134"/>
      <c r="S167" s="133"/>
      <c r="T167" s="133"/>
      <c r="U167" s="133"/>
      <c r="V167" s="243"/>
      <c r="W167" s="243"/>
      <c r="X167" s="243"/>
      <c r="Y167" s="243"/>
      <c r="Z167" s="240" t="s">
        <v>140</v>
      </c>
      <c r="AA167" s="239"/>
      <c r="AB167" s="279">
        <f>IF(AB131=0,"",IF(AB166&lt;=DATE(AB132+1911,2,1),DATE(AB132+1911,2,1),IF(AND(AB166&gt;DATE(AB132+1911,2,1),AB166&lt;=DATE(AB132+1911,8,1)),DATE(AB132+1911,8,1),DATE(AB132+1+1911,2,1))))</f>
        <v>45689</v>
      </c>
      <c r="AC167" s="139"/>
      <c r="AD167" s="239"/>
      <c r="AE167" s="239"/>
      <c r="AF167" s="139"/>
      <c r="AG167" s="280"/>
      <c r="AH167" s="259">
        <f>IF(AND(AH137&gt;=58,AH138&gt;=25,LEFT(AH166,3)="122"),"（說明：雖已逾過渡期，惟因年齡已滿58歲、年資已滿25年，仍符合支領全額月退休金之要件）","")</f>
      </c>
      <c r="AP167" s="27"/>
      <c r="AQ167" s="27"/>
      <c r="AR167" s="27"/>
      <c r="AX167" s="140"/>
      <c r="AY167" s="140"/>
      <c r="AZ167" s="140"/>
      <c r="BA167" s="140"/>
      <c r="BB167" s="140"/>
      <c r="BW167" s="7"/>
      <c r="BX167" s="7"/>
      <c r="BY167" s="20"/>
      <c r="BZ167" s="2"/>
      <c r="CA167" s="181"/>
      <c r="CB167" s="2"/>
      <c r="CC167" s="2"/>
      <c r="CD167" s="181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>
        <f t="shared" si="175"/>
      </c>
      <c r="CR167" s="2">
        <f aca="true" t="shared" si="210" ref="CR167:CR187">IF(CP167="","",IF(CQ167="",IF(OR(AND(CP167&gt;7,OR(AND(CA167&gt;1,CA167&lt;=7),AND(CD167&gt;1,CD167&lt;=7))),AND(CP167&gt;7,OR(RIGHT(BZ167,4)=".8.1",RIGHT(CC167,4)=".8.1"))),BY167+1&amp;".8.1。【說明：原實際條件成就之日期為"&amp;CO167&amp;"，惟因須配合學期暨受次年度指標數增加之影響，而必須二次遞延至當學年度結束之次日，始能退休生效，爰推算為"&amp;BY167+1&amp;".8.1】",BY167+2&amp;".2.1。【說明：原實際條件成就之日期為"&amp;CO167&amp;"，惟因須配合學期暨受次年度指標數增加之影響，而必須三次遞延至次學年度第一學期結束之次日，始能退休生效，爰推算為"&amp;BY167+2&amp;".2.1】"),""))</f>
      </c>
      <c r="CS167" s="128"/>
      <c r="CT167" s="2"/>
      <c r="CU167" s="2"/>
      <c r="CV167" s="128"/>
      <c r="CW167" s="2"/>
      <c r="CX167" s="2"/>
      <c r="CY167" s="128"/>
      <c r="CZ167" s="2"/>
      <c r="DA167" s="2"/>
      <c r="DB167" s="128"/>
      <c r="DC167" s="2">
        <f t="shared" si="204"/>
      </c>
      <c r="DD167" s="2">
        <f t="shared" si="205"/>
      </c>
      <c r="DE167" s="128">
        <f t="shared" si="209"/>
      </c>
      <c r="DF167" s="2"/>
      <c r="DG167" s="2"/>
      <c r="DH167" s="128"/>
      <c r="DI167" s="2">
        <f t="shared" si="206"/>
      </c>
      <c r="DJ167" s="2">
        <f t="shared" si="207"/>
      </c>
      <c r="DK167" s="128">
        <f t="shared" si="203"/>
      </c>
      <c r="DL167" s="128"/>
      <c r="DM167" s="21"/>
      <c r="DN167" s="2"/>
      <c r="DO167" s="2"/>
      <c r="DP167" s="2"/>
      <c r="DQ167" s="2"/>
      <c r="DR167" s="2"/>
      <c r="DS167" s="2"/>
      <c r="DT167" s="2"/>
      <c r="DU167" s="2"/>
      <c r="DV167" s="10"/>
      <c r="DW167" s="2"/>
      <c r="DX167" s="2"/>
      <c r="EB167" s="212"/>
      <c r="EC167" s="212"/>
      <c r="ED167" s="212"/>
      <c r="EN167" s="318"/>
      <c r="EO167" s="137"/>
      <c r="EP167" s="318"/>
      <c r="EQ167" s="318"/>
    </row>
    <row r="168" spans="2:147" s="136" customFormat="1" ht="16.5" hidden="1">
      <c r="B168" s="53"/>
      <c r="C168" s="53"/>
      <c r="D168" s="26"/>
      <c r="E168" s="26"/>
      <c r="F168" s="26"/>
      <c r="G168" s="53"/>
      <c r="H168" s="132"/>
      <c r="I168" s="132"/>
      <c r="J168" s="53"/>
      <c r="K168" s="117"/>
      <c r="L168" s="117"/>
      <c r="M168" s="117"/>
      <c r="N168" s="537"/>
      <c r="O168" s="537"/>
      <c r="P168" s="537"/>
      <c r="Q168" s="537"/>
      <c r="R168" s="134"/>
      <c r="S168" s="133"/>
      <c r="T168" s="133"/>
      <c r="U168" s="133"/>
      <c r="V168" s="243"/>
      <c r="W168" s="243"/>
      <c r="X168" s="243"/>
      <c r="Y168" s="243"/>
      <c r="Z168" s="240" t="s">
        <v>141</v>
      </c>
      <c r="AA168" s="239"/>
      <c r="AB168" s="345" t="str">
        <f>IF(AB167&lt;=DATE(107+1911,8,1),"107.8.1",IF(AB131=0,"",IF(AB166&lt;=DATE(AB132+1911,2,1),AB132&amp;".2.1",IF(AND(AB166&gt;DATE(AB132+1911,2,1),AB166&lt;=DATE(AB132+1911,8,1)),AB132&amp;".8.1",AB132+1&amp;".2.1"))))</f>
        <v>114.2.1</v>
      </c>
      <c r="AC168" s="139"/>
      <c r="AD168" s="239"/>
      <c r="AE168" s="239"/>
      <c r="AF168" s="139"/>
      <c r="AG168" s="280" t="str">
        <f>AB168</f>
        <v>114.2.1</v>
      </c>
      <c r="AH168" s="259"/>
      <c r="AP168" s="27"/>
      <c r="AQ168" s="27"/>
      <c r="AR168" s="27"/>
      <c r="AX168" s="140"/>
      <c r="AY168" s="140"/>
      <c r="AZ168" s="140"/>
      <c r="BA168" s="140"/>
      <c r="BB168" s="140"/>
      <c r="BW168" s="7"/>
      <c r="BX168" s="7"/>
      <c r="BY168" s="20"/>
      <c r="BZ168" s="2"/>
      <c r="CA168" s="181"/>
      <c r="CB168" s="2"/>
      <c r="CC168" s="2"/>
      <c r="CD168" s="181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>
        <f aca="true" t="shared" si="211" ref="CQ168:CQ187">IF(CP168="","",IF(CP168=1,BY168&amp;".2.1。【說明：原實際條件成就之日期為"&amp;CO168&amp;"，惟因須配合學期而延至當學期結束之次日，始能退休生效，爰推算為"&amp;BY168&amp;".2.1】",IF(AND(CP168&lt;=7,CP168&gt;1),BY168&amp;".8.1。【說明：原實際條件成就之日期為"&amp;CO168&amp;"，惟因須配合學期而延至當學年度結束之次日，始能退休生效，爰推算為"&amp;BY168&amp;".8.1】",IF(OR(AND(CP168&gt;7,OR(CA168=1,CD168=1)),AND(CP168&gt;7,OR(RIGHT(BZ168,4)=".2.1",RIGHT(CC168,4)=".2.1"))),BY168+1&amp;".2.1。【說明：原實際條件成就之日期為"&amp;CO168&amp;"，惟因須配合學期而延至當學期結束之次日，始能退休生效，爰推算為"&amp;BY168+1&amp;".2.1】",""))))</f>
      </c>
      <c r="CR168" s="2">
        <f t="shared" si="210"/>
      </c>
      <c r="CS168" s="128"/>
      <c r="CT168" s="2"/>
      <c r="CU168" s="2"/>
      <c r="CV168" s="128"/>
      <c r="CW168" s="2"/>
      <c r="CX168" s="2"/>
      <c r="CY168" s="128"/>
      <c r="CZ168" s="2"/>
      <c r="DA168" s="2"/>
      <c r="DB168" s="128"/>
      <c r="DC168" s="2">
        <f aca="true" t="shared" si="212" ref="DC168:DC187">IF(AND(CM168=60,S168=60,T168=15),CK168,IF(AND(CM168=60,S168&gt;60,T168=15),CD168,IF(AND(CM168=60,S168=60,T168&gt;15),CA168,"")))</f>
      </c>
      <c r="DD168" s="2">
        <f aca="true" t="shared" si="213" ref="DD168:DD187">IF(AND(CM168=60,S168=60,T168=15),CJ168,IF(AND(CM168=60,S168&gt;60,T168=15),CC168,IF(AND(CM168=60,S168=60,T168&gt;15),BZ168,"")))</f>
      </c>
      <c r="DE168" s="128">
        <f aca="true" t="shared" si="214" ref="DE168:DE187">IF(DC168="","",IF(RIGHT(DD168,4)=".8.1",BY168&amp;".8.1",IF(RIGHT(DD168,4)=".2.1",BY168&amp;".2.1",IF(DC168=1,BY168&amp;".2.1。【說明：原實際條件成就時間為"&amp;DD168&amp;"，惟因必須配合學期而延至當學期結束之次日，始能退休生效，爰推算為"&amp;BY168&amp;".2.1】",IF(AND(DC168&lt;=7,DC168&gt;1),BY168&amp;".8.1。【說明：原實際條件成就時間為"&amp;DD168&amp;"，惟因必須配合學期而延至當學年度結束之次日，始能退休生效，爰推算為"&amp;BY168&amp;".8.1】",BY168+1&amp;".2.1。【說明：原實際條件成就時間為"&amp;DD168&amp;"，惟因必須配合學期而延至當學期結束之次日，始能退休生效，爰推算為"&amp;BY168+1&amp;".2.1】")))))</f>
      </c>
      <c r="DF168" s="2"/>
      <c r="DG168" s="2"/>
      <c r="DH168" s="128"/>
      <c r="DI168" s="2">
        <f aca="true" t="shared" si="215" ref="DI168:DI187">IF(CM168=65,CA168,"")</f>
      </c>
      <c r="DJ168" s="2">
        <f aca="true" t="shared" si="216" ref="DJ168:DJ187">IF(CM168=65,BZ168,"")</f>
      </c>
      <c r="DK168" s="128">
        <f aca="true" t="shared" si="217" ref="DK168:DK187">IF(DI168="","",IF(RIGHT(DJ168,4)=".8.1",BY168&amp;".8.1",IF(RIGHT(DJ168,4)=".2.1",BY168&amp;".2.1",IF(DI168=1,BY168&amp;".2.1。【說明：原實際條件成就時間為"&amp;DJ168&amp;"，惟因必須配合學期而延至當學期結束之次日，始能退休生效，爰推算為"&amp;BY168&amp;".2.1】",IF(AND(DI168&lt;=7,DI168&gt;1),BY168&amp;".8.1。【說明：原實際條件成就時間為"&amp;DJ168&amp;"，惟因必須配合學期而延至當學年度結束之次日，始能退休生效，爰推算為"&amp;BY168&amp;".8.1】",BY168+1&amp;".2.1。【說明：原實際條件成就時間為"&amp;DJ168&amp;"，惟因必須配合學期而延至當學期結束之次日，始能退休生效，爰推算為"&amp;BY168+1&amp;".2.1】")))))</f>
      </c>
      <c r="DL168" s="128"/>
      <c r="DM168" s="21"/>
      <c r="DN168" s="2"/>
      <c r="DO168" s="2"/>
      <c r="DP168" s="2"/>
      <c r="DQ168" s="2"/>
      <c r="DR168" s="2"/>
      <c r="DS168" s="2"/>
      <c r="DT168" s="2"/>
      <c r="DU168" s="2"/>
      <c r="DV168" s="10"/>
      <c r="DW168" s="2"/>
      <c r="DX168" s="2"/>
      <c r="EB168" s="212"/>
      <c r="EC168" s="212"/>
      <c r="ED168" s="212"/>
      <c r="EN168" s="318"/>
      <c r="EO168" s="137"/>
      <c r="EP168" s="318"/>
      <c r="EQ168" s="318"/>
    </row>
    <row r="169" spans="2:147" s="136" customFormat="1" ht="16.5" hidden="1">
      <c r="B169" s="53"/>
      <c r="C169" s="53"/>
      <c r="D169" s="26"/>
      <c r="E169" s="26"/>
      <c r="F169" s="26"/>
      <c r="G169" s="53"/>
      <c r="H169" s="132"/>
      <c r="I169" s="132"/>
      <c r="J169" s="53"/>
      <c r="K169" s="117"/>
      <c r="L169" s="117"/>
      <c r="M169" s="117"/>
      <c r="N169" s="537"/>
      <c r="O169" s="537"/>
      <c r="P169" s="537"/>
      <c r="Q169" s="537"/>
      <c r="R169" s="134"/>
      <c r="S169" s="133"/>
      <c r="T169" s="133"/>
      <c r="U169" s="133"/>
      <c r="V169" s="243"/>
      <c r="W169" s="243"/>
      <c r="X169" s="243"/>
      <c r="Y169" s="243"/>
      <c r="Z169" s="239"/>
      <c r="AA169" s="239"/>
      <c r="AB169" s="139">
        <f>IF(AB132="","",IF(AB145&gt;AB167,2,1))</f>
        <v>2</v>
      </c>
      <c r="AC169" s="139"/>
      <c r="AD169" s="239"/>
      <c r="AE169" s="239"/>
      <c r="AF169" s="139"/>
      <c r="AG169" s="270">
        <f>IF(AG131=0,"",VALUE(CONCATENATE(AA169,AB169)))</f>
        <v>2</v>
      </c>
      <c r="AH169" s="259"/>
      <c r="AP169" s="27"/>
      <c r="AQ169" s="27"/>
      <c r="AR169" s="27"/>
      <c r="AX169" s="140"/>
      <c r="AY169" s="140"/>
      <c r="AZ169" s="140"/>
      <c r="BA169" s="140"/>
      <c r="BB169" s="140"/>
      <c r="BW169" s="7"/>
      <c r="BX169" s="7"/>
      <c r="BY169" s="20"/>
      <c r="BZ169" s="2"/>
      <c r="CA169" s="181"/>
      <c r="CB169" s="2"/>
      <c r="CC169" s="2"/>
      <c r="CD169" s="181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>
        <f t="shared" si="211"/>
      </c>
      <c r="CR169" s="2">
        <f t="shared" si="210"/>
      </c>
      <c r="CS169" s="128"/>
      <c r="CT169" s="2"/>
      <c r="CU169" s="2"/>
      <c r="CV169" s="128"/>
      <c r="CW169" s="2"/>
      <c r="CX169" s="2"/>
      <c r="CY169" s="128"/>
      <c r="CZ169" s="2"/>
      <c r="DA169" s="2"/>
      <c r="DB169" s="128"/>
      <c r="DC169" s="2">
        <f t="shared" si="212"/>
      </c>
      <c r="DD169" s="2">
        <f t="shared" si="213"/>
      </c>
      <c r="DE169" s="128">
        <f t="shared" si="214"/>
      </c>
      <c r="DF169" s="2"/>
      <c r="DG169" s="2"/>
      <c r="DH169" s="128"/>
      <c r="DI169" s="2">
        <f t="shared" si="215"/>
      </c>
      <c r="DJ169" s="2">
        <f t="shared" si="216"/>
      </c>
      <c r="DK169" s="128">
        <f t="shared" si="217"/>
      </c>
      <c r="DL169" s="128"/>
      <c r="DM169" s="21"/>
      <c r="DN169" s="2"/>
      <c r="DO169" s="2"/>
      <c r="DP169" s="2"/>
      <c r="DQ169" s="2"/>
      <c r="DR169" s="2"/>
      <c r="DS169" s="2"/>
      <c r="DT169" s="2"/>
      <c r="DU169" s="2"/>
      <c r="DV169" s="10"/>
      <c r="DW169" s="2"/>
      <c r="DX169" s="2"/>
      <c r="EB169" s="212"/>
      <c r="EC169" s="212"/>
      <c r="ED169" s="212"/>
      <c r="EN169" s="318"/>
      <c r="EO169" s="137"/>
      <c r="EP169" s="318"/>
      <c r="EQ169" s="318"/>
    </row>
    <row r="170" spans="2:147" s="136" customFormat="1" ht="16.5" hidden="1">
      <c r="B170" s="53"/>
      <c r="C170" s="53"/>
      <c r="D170" s="26"/>
      <c r="E170" s="26"/>
      <c r="F170" s="26"/>
      <c r="G170" s="53"/>
      <c r="H170" s="132"/>
      <c r="I170" s="132"/>
      <c r="J170" s="53"/>
      <c r="K170" s="117"/>
      <c r="L170" s="117"/>
      <c r="M170" s="117"/>
      <c r="N170" s="537"/>
      <c r="O170" s="537"/>
      <c r="P170" s="537"/>
      <c r="Q170" s="537"/>
      <c r="R170" s="134"/>
      <c r="S170" s="133"/>
      <c r="T170" s="133"/>
      <c r="U170" s="133"/>
      <c r="V170" s="243"/>
      <c r="W170" s="243"/>
      <c r="X170" s="243"/>
      <c r="Y170" s="243"/>
      <c r="Z170" s="239"/>
      <c r="AA170" s="239"/>
      <c r="AB170" s="139"/>
      <c r="AC170" s="139"/>
      <c r="AD170" s="239"/>
      <c r="AE170" s="239"/>
      <c r="AF170" s="139"/>
      <c r="AG170" s="139"/>
      <c r="AP170" s="27"/>
      <c r="AQ170" s="27"/>
      <c r="AR170" s="27"/>
      <c r="AX170" s="140"/>
      <c r="AY170" s="140"/>
      <c r="AZ170" s="140"/>
      <c r="BA170" s="140"/>
      <c r="BB170" s="140"/>
      <c r="BW170" s="7"/>
      <c r="BX170" s="7"/>
      <c r="BY170" s="20"/>
      <c r="BZ170" s="2"/>
      <c r="CA170" s="181"/>
      <c r="CB170" s="2"/>
      <c r="CC170" s="2"/>
      <c r="CD170" s="181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>
        <f t="shared" si="211"/>
      </c>
      <c r="CR170" s="2">
        <f t="shared" si="210"/>
      </c>
      <c r="CS170" s="128"/>
      <c r="CT170" s="2"/>
      <c r="CU170" s="2"/>
      <c r="CV170" s="128"/>
      <c r="CW170" s="2"/>
      <c r="CX170" s="2"/>
      <c r="CY170" s="128"/>
      <c r="CZ170" s="2"/>
      <c r="DA170" s="2"/>
      <c r="DB170" s="128"/>
      <c r="DC170" s="2">
        <f t="shared" si="212"/>
      </c>
      <c r="DD170" s="2">
        <f t="shared" si="213"/>
      </c>
      <c r="DE170" s="128">
        <f t="shared" si="214"/>
      </c>
      <c r="DF170" s="2"/>
      <c r="DG170" s="2"/>
      <c r="DH170" s="128"/>
      <c r="DI170" s="2">
        <f t="shared" si="215"/>
      </c>
      <c r="DJ170" s="2">
        <f t="shared" si="216"/>
      </c>
      <c r="DK170" s="128">
        <f t="shared" si="217"/>
      </c>
      <c r="DL170" s="128"/>
      <c r="DM170" s="21"/>
      <c r="DN170" s="2"/>
      <c r="DO170" s="2"/>
      <c r="DP170" s="2"/>
      <c r="DQ170" s="2"/>
      <c r="DR170" s="2"/>
      <c r="DS170" s="2"/>
      <c r="DT170" s="2"/>
      <c r="DU170" s="2"/>
      <c r="DV170" s="10"/>
      <c r="DW170" s="2"/>
      <c r="DX170" s="2"/>
      <c r="EB170" s="212"/>
      <c r="EC170" s="212"/>
      <c r="ED170" s="212"/>
      <c r="EN170" s="318"/>
      <c r="EO170" s="137"/>
      <c r="EP170" s="318"/>
      <c r="EQ170" s="318"/>
    </row>
    <row r="171" spans="2:147" s="136" customFormat="1" ht="16.5" hidden="1">
      <c r="B171" s="53"/>
      <c r="C171" s="53"/>
      <c r="D171" s="26"/>
      <c r="E171" s="26"/>
      <c r="F171" s="26"/>
      <c r="G171" s="53"/>
      <c r="H171" s="132"/>
      <c r="I171" s="132"/>
      <c r="J171" s="53"/>
      <c r="K171" s="117"/>
      <c r="L171" s="117"/>
      <c r="M171" s="117"/>
      <c r="N171" s="537"/>
      <c r="O171" s="537"/>
      <c r="P171" s="537"/>
      <c r="Q171" s="537"/>
      <c r="R171" s="134"/>
      <c r="S171" s="133"/>
      <c r="T171" s="133"/>
      <c r="U171" s="133"/>
      <c r="V171" s="243"/>
      <c r="W171" s="243"/>
      <c r="X171" s="243"/>
      <c r="Y171" s="243"/>
      <c r="Z171" s="239"/>
      <c r="AA171" s="239"/>
      <c r="AB171" s="139"/>
      <c r="AC171" s="139"/>
      <c r="AD171" s="239"/>
      <c r="AE171" s="239"/>
      <c r="AF171" s="139"/>
      <c r="AG171" s="139"/>
      <c r="AP171" s="27"/>
      <c r="AQ171" s="27"/>
      <c r="AR171" s="27"/>
      <c r="AX171" s="140"/>
      <c r="AY171" s="140"/>
      <c r="AZ171" s="140"/>
      <c r="BA171" s="140"/>
      <c r="BB171" s="140"/>
      <c r="BW171" s="7"/>
      <c r="BX171" s="7"/>
      <c r="BY171" s="20"/>
      <c r="BZ171" s="2"/>
      <c r="CA171" s="181"/>
      <c r="CB171" s="2"/>
      <c r="CC171" s="2"/>
      <c r="CD171" s="181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>
        <f t="shared" si="211"/>
      </c>
      <c r="CR171" s="2">
        <f t="shared" si="210"/>
      </c>
      <c r="CS171" s="128"/>
      <c r="CT171" s="2"/>
      <c r="CU171" s="2"/>
      <c r="CV171" s="128"/>
      <c r="CW171" s="2"/>
      <c r="CX171" s="2"/>
      <c r="CY171" s="128"/>
      <c r="CZ171" s="2"/>
      <c r="DA171" s="2"/>
      <c r="DB171" s="128"/>
      <c r="DC171" s="2">
        <f t="shared" si="212"/>
      </c>
      <c r="DD171" s="2">
        <f t="shared" si="213"/>
      </c>
      <c r="DE171" s="128">
        <f t="shared" si="214"/>
      </c>
      <c r="DF171" s="2"/>
      <c r="DG171" s="2"/>
      <c r="DH171" s="128"/>
      <c r="DI171" s="2">
        <f t="shared" si="215"/>
      </c>
      <c r="DJ171" s="2">
        <f t="shared" si="216"/>
      </c>
      <c r="DK171" s="128">
        <f t="shared" si="217"/>
      </c>
      <c r="DL171" s="128"/>
      <c r="DM171" s="21"/>
      <c r="DN171" s="2"/>
      <c r="DO171" s="2"/>
      <c r="DP171" s="2"/>
      <c r="DQ171" s="2"/>
      <c r="DR171" s="2"/>
      <c r="DS171" s="2"/>
      <c r="DT171" s="2"/>
      <c r="DU171" s="2"/>
      <c r="DV171" s="10"/>
      <c r="DW171" s="2"/>
      <c r="DX171" s="2"/>
      <c r="EB171" s="212"/>
      <c r="EC171" s="212"/>
      <c r="ED171" s="212"/>
      <c r="EN171" s="318"/>
      <c r="EO171" s="137"/>
      <c r="EP171" s="318"/>
      <c r="EQ171" s="318"/>
    </row>
    <row r="172" spans="2:147" s="136" customFormat="1" ht="16.5" hidden="1">
      <c r="B172" s="53"/>
      <c r="C172" s="53"/>
      <c r="D172" s="26"/>
      <c r="E172" s="26"/>
      <c r="F172" s="26"/>
      <c r="G172" s="53"/>
      <c r="H172" s="132"/>
      <c r="I172" s="132"/>
      <c r="J172" s="53"/>
      <c r="K172" s="117"/>
      <c r="L172" s="117"/>
      <c r="M172" s="117"/>
      <c r="N172" s="537"/>
      <c r="O172" s="537"/>
      <c r="P172" s="537"/>
      <c r="Q172" s="537"/>
      <c r="R172" s="134"/>
      <c r="S172" s="133"/>
      <c r="T172" s="133"/>
      <c r="U172" s="133"/>
      <c r="V172" s="243"/>
      <c r="W172" s="243"/>
      <c r="X172" s="243"/>
      <c r="Y172" s="243"/>
      <c r="Z172" s="239"/>
      <c r="AA172" s="239"/>
      <c r="AB172" s="139"/>
      <c r="AC172" s="321" t="s">
        <v>158</v>
      </c>
      <c r="AD172" s="239"/>
      <c r="AE172" s="239"/>
      <c r="AF172" s="139"/>
      <c r="AG172" s="139"/>
      <c r="AP172" s="27"/>
      <c r="AQ172" s="27"/>
      <c r="AR172" s="27"/>
      <c r="AX172" s="140"/>
      <c r="AY172" s="140"/>
      <c r="AZ172" s="140"/>
      <c r="BA172" s="140"/>
      <c r="BB172" s="140"/>
      <c r="BW172" s="7"/>
      <c r="BX172" s="7"/>
      <c r="BY172" s="20"/>
      <c r="BZ172" s="2"/>
      <c r="CA172" s="181"/>
      <c r="CB172" s="2"/>
      <c r="CC172" s="2"/>
      <c r="CD172" s="181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>
        <f t="shared" si="211"/>
      </c>
      <c r="CR172" s="2">
        <f t="shared" si="210"/>
      </c>
      <c r="CS172" s="128"/>
      <c r="CT172" s="2"/>
      <c r="CU172" s="2"/>
      <c r="CV172" s="128"/>
      <c r="CW172" s="2"/>
      <c r="CX172" s="2"/>
      <c r="CY172" s="128"/>
      <c r="CZ172" s="2"/>
      <c r="DA172" s="2"/>
      <c r="DB172" s="128"/>
      <c r="DC172" s="2">
        <f t="shared" si="212"/>
      </c>
      <c r="DD172" s="2">
        <f t="shared" si="213"/>
      </c>
      <c r="DE172" s="128">
        <f t="shared" si="214"/>
      </c>
      <c r="DF172" s="2"/>
      <c r="DG172" s="2"/>
      <c r="DH172" s="128"/>
      <c r="DI172" s="2">
        <f t="shared" si="215"/>
      </c>
      <c r="DJ172" s="2">
        <f t="shared" si="216"/>
      </c>
      <c r="DK172" s="128">
        <f t="shared" si="217"/>
      </c>
      <c r="DL172" s="128"/>
      <c r="DM172" s="21"/>
      <c r="DN172" s="2"/>
      <c r="DO172" s="2"/>
      <c r="DP172" s="2"/>
      <c r="DQ172" s="2"/>
      <c r="DR172" s="2"/>
      <c r="DS172" s="2"/>
      <c r="DT172" s="2"/>
      <c r="DU172" s="2"/>
      <c r="DV172" s="10"/>
      <c r="DW172" s="2"/>
      <c r="DX172" s="2"/>
      <c r="EB172" s="212"/>
      <c r="EC172" s="212"/>
      <c r="ED172" s="212"/>
      <c r="EN172" s="318"/>
      <c r="EO172" s="137"/>
      <c r="EP172" s="318"/>
      <c r="EQ172" s="318"/>
    </row>
    <row r="173" spans="2:147" s="136" customFormat="1" ht="16.5" hidden="1">
      <c r="B173" s="53"/>
      <c r="C173" s="53"/>
      <c r="D173" s="26"/>
      <c r="E173" s="26"/>
      <c r="F173" s="26"/>
      <c r="G173" s="53"/>
      <c r="H173" s="132"/>
      <c r="I173" s="132"/>
      <c r="J173" s="53"/>
      <c r="K173" s="117"/>
      <c r="L173" s="117"/>
      <c r="M173" s="117"/>
      <c r="N173" s="537"/>
      <c r="O173" s="537"/>
      <c r="P173" s="537"/>
      <c r="Q173" s="537"/>
      <c r="R173" s="134"/>
      <c r="S173" s="133"/>
      <c r="T173" s="133"/>
      <c r="U173" s="133"/>
      <c r="V173" s="243"/>
      <c r="W173" s="243"/>
      <c r="X173" s="243"/>
      <c r="Y173" s="243"/>
      <c r="Z173" s="239"/>
      <c r="AA173" s="239"/>
      <c r="AB173" s="139"/>
      <c r="AC173" s="321">
        <f>VALUE(LEFT(AC174,3))</f>
        <v>116</v>
      </c>
      <c r="AD173" s="239"/>
      <c r="AE173" s="239"/>
      <c r="AF173" s="139"/>
      <c r="AG173" s="139"/>
      <c r="AP173" s="27"/>
      <c r="AQ173" s="27"/>
      <c r="AR173" s="27"/>
      <c r="AX173" s="140"/>
      <c r="AY173" s="140"/>
      <c r="AZ173" s="140"/>
      <c r="BA173" s="140"/>
      <c r="BB173" s="140"/>
      <c r="BW173" s="7"/>
      <c r="BX173" s="7"/>
      <c r="BY173" s="20"/>
      <c r="BZ173" s="2"/>
      <c r="CA173" s="181"/>
      <c r="CB173" s="2"/>
      <c r="CC173" s="2"/>
      <c r="CD173" s="181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>
        <f t="shared" si="211"/>
      </c>
      <c r="CR173" s="2">
        <f t="shared" si="210"/>
      </c>
      <c r="CS173" s="128"/>
      <c r="CT173" s="2"/>
      <c r="CU173" s="2"/>
      <c r="CV173" s="128"/>
      <c r="CW173" s="2"/>
      <c r="CX173" s="2"/>
      <c r="CY173" s="128"/>
      <c r="CZ173" s="2"/>
      <c r="DA173" s="2"/>
      <c r="DB173" s="128"/>
      <c r="DC173" s="2">
        <f t="shared" si="212"/>
      </c>
      <c r="DD173" s="2">
        <f t="shared" si="213"/>
      </c>
      <c r="DE173" s="128">
        <f t="shared" si="214"/>
      </c>
      <c r="DF173" s="2"/>
      <c r="DG173" s="2"/>
      <c r="DH173" s="128"/>
      <c r="DI173" s="2">
        <f t="shared" si="215"/>
      </c>
      <c r="DJ173" s="2">
        <f t="shared" si="216"/>
      </c>
      <c r="DK173" s="128">
        <f t="shared" si="217"/>
      </c>
      <c r="DL173" s="128"/>
      <c r="DM173" s="21"/>
      <c r="DN173" s="2"/>
      <c r="DO173" s="2"/>
      <c r="DP173" s="2"/>
      <c r="DQ173" s="2"/>
      <c r="DR173" s="2"/>
      <c r="DS173" s="2"/>
      <c r="DT173" s="2"/>
      <c r="DU173" s="2"/>
      <c r="DV173" s="10"/>
      <c r="DW173" s="2"/>
      <c r="DX173" s="2"/>
      <c r="EB173" s="212"/>
      <c r="EC173" s="212"/>
      <c r="ED173" s="212"/>
      <c r="EN173" s="318"/>
      <c r="EO173" s="137"/>
      <c r="EP173" s="318"/>
      <c r="EQ173" s="318"/>
    </row>
    <row r="174" spans="2:147" s="136" customFormat="1" ht="16.5" hidden="1">
      <c r="B174" s="53"/>
      <c r="C174" s="53"/>
      <c r="D174" s="26"/>
      <c r="E174" s="26"/>
      <c r="F174" s="26"/>
      <c r="G174" s="53"/>
      <c r="H174" s="132"/>
      <c r="I174" s="132"/>
      <c r="J174" s="53"/>
      <c r="K174" s="117"/>
      <c r="L174" s="117"/>
      <c r="M174" s="117"/>
      <c r="N174" s="537"/>
      <c r="O174" s="537"/>
      <c r="P174" s="537"/>
      <c r="Q174" s="537"/>
      <c r="R174" s="134"/>
      <c r="S174" s="133"/>
      <c r="T174" s="133"/>
      <c r="U174" s="133"/>
      <c r="V174" s="243"/>
      <c r="W174" s="243"/>
      <c r="X174" s="243"/>
      <c r="Y174" s="243"/>
      <c r="Z174" s="239"/>
      <c r="AA174" s="239"/>
      <c r="AB174" s="139"/>
      <c r="AC174" s="321" t="str">
        <f>IF(AND(S31&gt;50,T31&gt;25,U31&gt;R31),"106.1.1",IF(AND(DO2&lt;=121,DN2&gt;=122),AF150,IF(AND(DO2&lt;=115,DN2&gt;=116,DP2&lt;55),AI150,IF(AND(DO5&lt;=DATE(2018,2,1),DO5&gt;DATE(2017,8,1)),"107.2.1",IF(AND(AH131&gt;=2,AH131&lt;=16,X130&gt;DATE(AH132+1911,8,1)),AI155,LEFT(Z5,7))))))</f>
        <v>116.2.1</v>
      </c>
      <c r="AD174" s="239"/>
      <c r="AE174" s="239"/>
      <c r="AF174" s="139"/>
      <c r="AG174" s="139"/>
      <c r="AP174" s="27"/>
      <c r="AQ174" s="27"/>
      <c r="AR174" s="27"/>
      <c r="AX174" s="140"/>
      <c r="AY174" s="140"/>
      <c r="AZ174" s="140"/>
      <c r="BA174" s="140"/>
      <c r="BB174" s="140"/>
      <c r="BW174" s="7"/>
      <c r="BX174" s="7"/>
      <c r="BY174" s="20"/>
      <c r="BZ174" s="2"/>
      <c r="CA174" s="181"/>
      <c r="CB174" s="2"/>
      <c r="CC174" s="2"/>
      <c r="CD174" s="181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>
        <f t="shared" si="211"/>
      </c>
      <c r="CR174" s="2">
        <f t="shared" si="210"/>
      </c>
      <c r="CS174" s="128"/>
      <c r="CT174" s="2"/>
      <c r="CU174" s="2"/>
      <c r="CV174" s="128"/>
      <c r="CW174" s="2"/>
      <c r="CX174" s="2"/>
      <c r="CY174" s="128"/>
      <c r="CZ174" s="2"/>
      <c r="DA174" s="2"/>
      <c r="DB174" s="128"/>
      <c r="DC174" s="2">
        <f t="shared" si="212"/>
      </c>
      <c r="DD174" s="2">
        <f t="shared" si="213"/>
      </c>
      <c r="DE174" s="128">
        <f t="shared" si="214"/>
      </c>
      <c r="DF174" s="2"/>
      <c r="DG174" s="2"/>
      <c r="DH174" s="128"/>
      <c r="DI174" s="2">
        <f t="shared" si="215"/>
      </c>
      <c r="DJ174" s="2">
        <f t="shared" si="216"/>
      </c>
      <c r="DK174" s="128">
        <f t="shared" si="217"/>
      </c>
      <c r="DL174" s="128"/>
      <c r="DM174" s="21"/>
      <c r="DN174" s="2"/>
      <c r="DO174" s="2"/>
      <c r="DP174" s="2"/>
      <c r="DQ174" s="2"/>
      <c r="DR174" s="2"/>
      <c r="DS174" s="2"/>
      <c r="DT174" s="2"/>
      <c r="DU174" s="2"/>
      <c r="DV174" s="10"/>
      <c r="DW174" s="2"/>
      <c r="DX174" s="2"/>
      <c r="EB174" s="212"/>
      <c r="EC174" s="212"/>
      <c r="ED174" s="212"/>
      <c r="EN174" s="318"/>
      <c r="EO174" s="137"/>
      <c r="EP174" s="318"/>
      <c r="EQ174" s="318"/>
    </row>
    <row r="175" spans="2:147" s="136" customFormat="1" ht="16.5" hidden="1">
      <c r="B175" s="53"/>
      <c r="C175" s="53"/>
      <c r="D175" s="26"/>
      <c r="E175" s="26"/>
      <c r="F175" s="26"/>
      <c r="G175" s="53"/>
      <c r="H175" s="132"/>
      <c r="I175" s="132"/>
      <c r="J175" s="53"/>
      <c r="K175" s="117"/>
      <c r="L175" s="117"/>
      <c r="M175" s="117"/>
      <c r="N175" s="537"/>
      <c r="O175" s="537"/>
      <c r="P175" s="537"/>
      <c r="Q175" s="537"/>
      <c r="R175" s="134"/>
      <c r="S175" s="133"/>
      <c r="T175" s="133"/>
      <c r="U175" s="133"/>
      <c r="V175" s="243"/>
      <c r="W175" s="243"/>
      <c r="X175" s="243"/>
      <c r="Y175" s="243"/>
      <c r="Z175" s="239"/>
      <c r="AA175" s="239"/>
      <c r="AB175" s="139"/>
      <c r="AC175" s="322">
        <f>IF(RIGHT(AC174,4)=".8.1",DATE(LEFT(AC174,3)+1911,8,1),DATE(LEFT(AC174,3)+1911,2,1))</f>
        <v>46419</v>
      </c>
      <c r="AD175" s="239"/>
      <c r="AE175" s="239"/>
      <c r="AF175" s="139"/>
      <c r="AG175" s="139"/>
      <c r="AP175" s="27"/>
      <c r="AQ175" s="27"/>
      <c r="AR175" s="27"/>
      <c r="AX175" s="140"/>
      <c r="AY175" s="140"/>
      <c r="AZ175" s="140"/>
      <c r="BA175" s="140"/>
      <c r="BB175" s="140"/>
      <c r="BW175" s="7"/>
      <c r="BX175" s="7"/>
      <c r="BY175" s="20"/>
      <c r="BZ175" s="2"/>
      <c r="CA175" s="181"/>
      <c r="CB175" s="2"/>
      <c r="CC175" s="2"/>
      <c r="CD175" s="181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>
        <f t="shared" si="211"/>
      </c>
      <c r="CR175" s="2">
        <f t="shared" si="210"/>
      </c>
      <c r="CS175" s="128"/>
      <c r="CT175" s="2"/>
      <c r="CU175" s="2"/>
      <c r="CV175" s="128"/>
      <c r="CW175" s="2"/>
      <c r="CX175" s="2"/>
      <c r="CY175" s="128"/>
      <c r="CZ175" s="2"/>
      <c r="DA175" s="2"/>
      <c r="DB175" s="128"/>
      <c r="DC175" s="2">
        <f t="shared" si="212"/>
      </c>
      <c r="DD175" s="2">
        <f t="shared" si="213"/>
      </c>
      <c r="DE175" s="128">
        <f t="shared" si="214"/>
      </c>
      <c r="DF175" s="2"/>
      <c r="DG175" s="2"/>
      <c r="DH175" s="128"/>
      <c r="DI175" s="2">
        <f t="shared" si="215"/>
      </c>
      <c r="DJ175" s="2">
        <f t="shared" si="216"/>
      </c>
      <c r="DK175" s="128">
        <f t="shared" si="217"/>
      </c>
      <c r="DL175" s="128"/>
      <c r="DM175" s="21"/>
      <c r="DN175" s="2"/>
      <c r="DO175" s="2"/>
      <c r="DP175" s="2"/>
      <c r="DQ175" s="2"/>
      <c r="DR175" s="2"/>
      <c r="DS175" s="2"/>
      <c r="DT175" s="2"/>
      <c r="DU175" s="2"/>
      <c r="DV175" s="10"/>
      <c r="DW175" s="2"/>
      <c r="DX175" s="2"/>
      <c r="EB175" s="212"/>
      <c r="EC175" s="212"/>
      <c r="ED175" s="212"/>
      <c r="EN175" s="318"/>
      <c r="EO175" s="137"/>
      <c r="EP175" s="318"/>
      <c r="EQ175" s="318"/>
    </row>
    <row r="176" spans="2:147" s="136" customFormat="1" ht="16.5" hidden="1">
      <c r="B176" s="53"/>
      <c r="C176" s="53"/>
      <c r="D176" s="26"/>
      <c r="E176" s="26"/>
      <c r="F176" s="26"/>
      <c r="G176" s="53"/>
      <c r="H176" s="132"/>
      <c r="I176" s="132"/>
      <c r="J176" s="53"/>
      <c r="K176" s="117"/>
      <c r="L176" s="117"/>
      <c r="M176" s="117"/>
      <c r="N176" s="537"/>
      <c r="O176" s="537"/>
      <c r="P176" s="537"/>
      <c r="Q176" s="537"/>
      <c r="R176" s="134"/>
      <c r="S176" s="133"/>
      <c r="T176" s="133"/>
      <c r="U176" s="133"/>
      <c r="V176" s="243"/>
      <c r="W176" s="243"/>
      <c r="X176" s="243"/>
      <c r="Y176" s="243"/>
      <c r="Z176" s="239"/>
      <c r="AA176" s="239"/>
      <c r="AB176" s="139"/>
      <c r="AC176" s="321"/>
      <c r="AD176" s="239"/>
      <c r="AE176" s="239"/>
      <c r="AF176" s="139"/>
      <c r="AG176" s="139"/>
      <c r="AP176" s="27"/>
      <c r="AQ176" s="27"/>
      <c r="AR176" s="27"/>
      <c r="AX176" s="140"/>
      <c r="AY176" s="140"/>
      <c r="AZ176" s="140"/>
      <c r="BA176" s="140"/>
      <c r="BB176" s="140"/>
      <c r="BW176" s="7"/>
      <c r="BX176" s="7"/>
      <c r="BY176" s="20"/>
      <c r="BZ176" s="2"/>
      <c r="CA176" s="181"/>
      <c r="CB176" s="2"/>
      <c r="CC176" s="2"/>
      <c r="CD176" s="181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>
        <f t="shared" si="211"/>
      </c>
      <c r="CR176" s="2">
        <f t="shared" si="210"/>
      </c>
      <c r="CS176" s="128"/>
      <c r="CT176" s="2"/>
      <c r="CU176" s="2"/>
      <c r="CV176" s="128"/>
      <c r="CW176" s="2"/>
      <c r="CX176" s="2"/>
      <c r="CY176" s="128"/>
      <c r="CZ176" s="2"/>
      <c r="DA176" s="2"/>
      <c r="DB176" s="128"/>
      <c r="DC176" s="2">
        <f t="shared" si="212"/>
      </c>
      <c r="DD176" s="2">
        <f t="shared" si="213"/>
      </c>
      <c r="DE176" s="128">
        <f t="shared" si="214"/>
      </c>
      <c r="DF176" s="2"/>
      <c r="DG176" s="2"/>
      <c r="DH176" s="128"/>
      <c r="DI176" s="2">
        <f t="shared" si="215"/>
      </c>
      <c r="DJ176" s="2">
        <f t="shared" si="216"/>
      </c>
      <c r="DK176" s="128">
        <f t="shared" si="217"/>
      </c>
      <c r="DL176" s="128"/>
      <c r="DM176" s="21"/>
      <c r="DN176" s="2"/>
      <c r="DO176" s="2"/>
      <c r="DP176" s="2"/>
      <c r="DQ176" s="2"/>
      <c r="DR176" s="2"/>
      <c r="DS176" s="2"/>
      <c r="DT176" s="2"/>
      <c r="DU176" s="2"/>
      <c r="DV176" s="10"/>
      <c r="DW176" s="2"/>
      <c r="DX176" s="2"/>
      <c r="EB176" s="212"/>
      <c r="EC176" s="212"/>
      <c r="ED176" s="212"/>
      <c r="EN176" s="318"/>
      <c r="EO176" s="137"/>
      <c r="EP176" s="318"/>
      <c r="EQ176" s="318"/>
    </row>
    <row r="177" spans="2:147" s="136" customFormat="1" ht="16.5" hidden="1">
      <c r="B177" s="53"/>
      <c r="C177" s="53"/>
      <c r="D177" s="26"/>
      <c r="E177" s="26"/>
      <c r="F177" s="26"/>
      <c r="G177" s="53"/>
      <c r="H177" s="132"/>
      <c r="I177" s="132"/>
      <c r="J177" s="53"/>
      <c r="K177" s="117"/>
      <c r="L177" s="117"/>
      <c r="M177" s="117"/>
      <c r="N177" s="537"/>
      <c r="O177" s="537"/>
      <c r="P177" s="537"/>
      <c r="Q177" s="537"/>
      <c r="R177" s="134"/>
      <c r="S177" s="133"/>
      <c r="T177" s="133"/>
      <c r="U177" s="133"/>
      <c r="V177" s="243"/>
      <c r="W177" s="243"/>
      <c r="X177" s="243"/>
      <c r="Y177" s="243"/>
      <c r="Z177" s="239"/>
      <c r="AA177" s="239"/>
      <c r="AB177" s="139"/>
      <c r="AC177" s="139"/>
      <c r="AD177" s="239"/>
      <c r="AE177" s="239"/>
      <c r="AF177" s="139"/>
      <c r="AG177" s="139"/>
      <c r="AP177" s="27"/>
      <c r="AQ177" s="27"/>
      <c r="AR177" s="27"/>
      <c r="AX177" s="140"/>
      <c r="AY177" s="140"/>
      <c r="AZ177" s="140"/>
      <c r="BA177" s="140"/>
      <c r="BB177" s="140"/>
      <c r="BW177" s="7"/>
      <c r="BX177" s="7"/>
      <c r="BY177" s="20"/>
      <c r="BZ177" s="2"/>
      <c r="CA177" s="181"/>
      <c r="CB177" s="2"/>
      <c r="CC177" s="2"/>
      <c r="CD177" s="181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>
        <f t="shared" si="211"/>
      </c>
      <c r="CR177" s="2">
        <f t="shared" si="210"/>
      </c>
      <c r="CS177" s="128"/>
      <c r="CT177" s="2"/>
      <c r="CU177" s="2"/>
      <c r="CV177" s="128"/>
      <c r="CW177" s="2"/>
      <c r="CX177" s="2"/>
      <c r="CY177" s="128"/>
      <c r="CZ177" s="2"/>
      <c r="DA177" s="2"/>
      <c r="DB177" s="128"/>
      <c r="DC177" s="2">
        <f t="shared" si="212"/>
      </c>
      <c r="DD177" s="2">
        <f t="shared" si="213"/>
      </c>
      <c r="DE177" s="128">
        <f t="shared" si="214"/>
      </c>
      <c r="DF177" s="2"/>
      <c r="DG177" s="2"/>
      <c r="DH177" s="128"/>
      <c r="DI177" s="2">
        <f t="shared" si="215"/>
      </c>
      <c r="DJ177" s="2">
        <f t="shared" si="216"/>
      </c>
      <c r="DK177" s="128">
        <f t="shared" si="217"/>
      </c>
      <c r="DL177" s="128"/>
      <c r="DM177" s="21"/>
      <c r="DN177" s="2"/>
      <c r="DO177" s="2"/>
      <c r="DP177" s="2"/>
      <c r="DQ177" s="2"/>
      <c r="DR177" s="2"/>
      <c r="DS177" s="2"/>
      <c r="DT177" s="2"/>
      <c r="DU177" s="2"/>
      <c r="DV177" s="10"/>
      <c r="DW177" s="2"/>
      <c r="DX177" s="2"/>
      <c r="EB177" s="212"/>
      <c r="EC177" s="212"/>
      <c r="ED177" s="212"/>
      <c r="EN177" s="318"/>
      <c r="EO177" s="137"/>
      <c r="EP177" s="318"/>
      <c r="EQ177" s="318"/>
    </row>
    <row r="178" spans="2:147" s="136" customFormat="1" ht="16.5" hidden="1">
      <c r="B178" s="53"/>
      <c r="C178" s="53"/>
      <c r="D178" s="26"/>
      <c r="E178" s="26"/>
      <c r="F178" s="26"/>
      <c r="G178" s="53"/>
      <c r="H178" s="132"/>
      <c r="I178" s="132"/>
      <c r="J178" s="53"/>
      <c r="K178" s="117"/>
      <c r="L178" s="117"/>
      <c r="M178" s="117"/>
      <c r="N178" s="537"/>
      <c r="O178" s="537"/>
      <c r="P178" s="537"/>
      <c r="Q178" s="537"/>
      <c r="R178" s="134"/>
      <c r="S178" s="133"/>
      <c r="T178" s="133"/>
      <c r="U178" s="133"/>
      <c r="V178" s="243"/>
      <c r="W178" s="243"/>
      <c r="X178" s="243"/>
      <c r="Y178" s="243"/>
      <c r="Z178" s="239"/>
      <c r="AA178" s="239"/>
      <c r="AB178" s="139"/>
      <c r="AC178" s="139"/>
      <c r="AD178" s="239"/>
      <c r="AE178" s="239"/>
      <c r="AF178" s="139"/>
      <c r="AG178" s="139"/>
      <c r="AP178" s="27"/>
      <c r="AQ178" s="27"/>
      <c r="AR178" s="27"/>
      <c r="AX178" s="140"/>
      <c r="AY178" s="140"/>
      <c r="AZ178" s="140"/>
      <c r="BA178" s="140"/>
      <c r="BB178" s="140"/>
      <c r="BW178" s="7"/>
      <c r="BX178" s="7"/>
      <c r="BY178" s="20"/>
      <c r="BZ178" s="2"/>
      <c r="CA178" s="181"/>
      <c r="CB178" s="2"/>
      <c r="CC178" s="2"/>
      <c r="CD178" s="181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>
        <f t="shared" si="211"/>
      </c>
      <c r="CR178" s="2">
        <f t="shared" si="210"/>
      </c>
      <c r="CS178" s="128"/>
      <c r="CT178" s="2"/>
      <c r="CU178" s="2"/>
      <c r="CV178" s="128"/>
      <c r="CW178" s="2"/>
      <c r="CX178" s="2"/>
      <c r="CY178" s="128"/>
      <c r="CZ178" s="2"/>
      <c r="DA178" s="2"/>
      <c r="DB178" s="128"/>
      <c r="DC178" s="2">
        <f t="shared" si="212"/>
      </c>
      <c r="DD178" s="2">
        <f t="shared" si="213"/>
      </c>
      <c r="DE178" s="128">
        <f t="shared" si="214"/>
      </c>
      <c r="DF178" s="2"/>
      <c r="DG178" s="2"/>
      <c r="DH178" s="128"/>
      <c r="DI178" s="2">
        <f t="shared" si="215"/>
      </c>
      <c r="DJ178" s="2">
        <f t="shared" si="216"/>
      </c>
      <c r="DK178" s="128">
        <f t="shared" si="217"/>
      </c>
      <c r="DL178" s="128"/>
      <c r="DM178" s="21"/>
      <c r="DN178" s="2"/>
      <c r="DO178" s="2"/>
      <c r="DP178" s="2"/>
      <c r="DQ178" s="2"/>
      <c r="DR178" s="2"/>
      <c r="DS178" s="2"/>
      <c r="DT178" s="2"/>
      <c r="DU178" s="2"/>
      <c r="DV178" s="10"/>
      <c r="DW178" s="2"/>
      <c r="DX178" s="2"/>
      <c r="EB178" s="212"/>
      <c r="EC178" s="212"/>
      <c r="ED178" s="212"/>
      <c r="EN178" s="318"/>
      <c r="EO178" s="137"/>
      <c r="EP178" s="318"/>
      <c r="EQ178" s="318"/>
    </row>
    <row r="179" spans="2:147" s="136" customFormat="1" ht="16.5" hidden="1">
      <c r="B179" s="53"/>
      <c r="C179" s="53"/>
      <c r="D179" s="26"/>
      <c r="E179" s="26"/>
      <c r="F179" s="26"/>
      <c r="G179" s="53"/>
      <c r="H179" s="132"/>
      <c r="I179" s="132"/>
      <c r="J179" s="53"/>
      <c r="K179" s="117"/>
      <c r="L179" s="117"/>
      <c r="M179" s="117"/>
      <c r="N179" s="537"/>
      <c r="O179" s="537"/>
      <c r="P179" s="537"/>
      <c r="Q179" s="537"/>
      <c r="R179" s="134"/>
      <c r="S179" s="133"/>
      <c r="T179" s="133"/>
      <c r="U179" s="133"/>
      <c r="V179" s="243"/>
      <c r="W179" s="243"/>
      <c r="X179" s="243"/>
      <c r="Y179" s="243"/>
      <c r="Z179" s="239"/>
      <c r="AA179" s="239"/>
      <c r="AB179" s="139"/>
      <c r="AC179" s="139"/>
      <c r="AD179" s="239"/>
      <c r="AE179" s="239"/>
      <c r="AF179" s="139"/>
      <c r="AG179" s="139"/>
      <c r="AP179" s="27"/>
      <c r="AQ179" s="27"/>
      <c r="AR179" s="27"/>
      <c r="AX179" s="140"/>
      <c r="AY179" s="140"/>
      <c r="AZ179" s="140"/>
      <c r="BA179" s="140"/>
      <c r="BB179" s="140"/>
      <c r="BW179" s="7"/>
      <c r="BX179" s="7"/>
      <c r="BY179" s="20"/>
      <c r="BZ179" s="2"/>
      <c r="CA179" s="181"/>
      <c r="CB179" s="2"/>
      <c r="CC179" s="2"/>
      <c r="CD179" s="181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>
        <f t="shared" si="211"/>
      </c>
      <c r="CR179" s="2">
        <f t="shared" si="210"/>
      </c>
      <c r="CS179" s="128"/>
      <c r="CT179" s="2"/>
      <c r="CU179" s="2"/>
      <c r="CV179" s="128"/>
      <c r="CW179" s="2"/>
      <c r="CX179" s="2"/>
      <c r="CY179" s="128"/>
      <c r="CZ179" s="2"/>
      <c r="DA179" s="2"/>
      <c r="DB179" s="128"/>
      <c r="DC179" s="2">
        <f t="shared" si="212"/>
      </c>
      <c r="DD179" s="2">
        <f t="shared" si="213"/>
      </c>
      <c r="DE179" s="128">
        <f t="shared" si="214"/>
      </c>
      <c r="DF179" s="2"/>
      <c r="DG179" s="2"/>
      <c r="DH179" s="128"/>
      <c r="DI179" s="2">
        <f t="shared" si="215"/>
      </c>
      <c r="DJ179" s="2">
        <f t="shared" si="216"/>
      </c>
      <c r="DK179" s="128">
        <f t="shared" si="217"/>
      </c>
      <c r="DL179" s="128"/>
      <c r="DM179" s="21"/>
      <c r="DN179" s="2"/>
      <c r="DO179" s="2"/>
      <c r="DP179" s="2"/>
      <c r="DQ179" s="2"/>
      <c r="DR179" s="2"/>
      <c r="DS179" s="2"/>
      <c r="DT179" s="2"/>
      <c r="DU179" s="2"/>
      <c r="DV179" s="10"/>
      <c r="DW179" s="2"/>
      <c r="DX179" s="2"/>
      <c r="EB179" s="212"/>
      <c r="EC179" s="212"/>
      <c r="ED179" s="212"/>
      <c r="EN179" s="318"/>
      <c r="EO179" s="137"/>
      <c r="EP179" s="318"/>
      <c r="EQ179" s="318"/>
    </row>
    <row r="180" spans="2:147" s="136" customFormat="1" ht="16.5" hidden="1">
      <c r="B180" s="53"/>
      <c r="C180" s="53"/>
      <c r="D180" s="26"/>
      <c r="E180" s="26"/>
      <c r="F180" s="26"/>
      <c r="G180" s="53"/>
      <c r="H180" s="132"/>
      <c r="I180" s="132"/>
      <c r="J180" s="53"/>
      <c r="K180" s="117"/>
      <c r="L180" s="117"/>
      <c r="M180" s="117"/>
      <c r="N180" s="537"/>
      <c r="O180" s="537"/>
      <c r="P180" s="537"/>
      <c r="Q180" s="537"/>
      <c r="R180" s="134"/>
      <c r="S180" s="133"/>
      <c r="T180" s="133"/>
      <c r="U180" s="133"/>
      <c r="V180" s="243"/>
      <c r="W180" s="243"/>
      <c r="X180" s="243"/>
      <c r="Y180" s="243"/>
      <c r="Z180" s="239"/>
      <c r="AA180" s="239"/>
      <c r="AB180" s="139"/>
      <c r="AC180" s="139">
        <f>MATCH("★",AC31:AC113,0)</f>
        <v>12</v>
      </c>
      <c r="AD180" s="239"/>
      <c r="AE180" s="239"/>
      <c r="AF180" s="139"/>
      <c r="AG180" s="139"/>
      <c r="AP180" s="27"/>
      <c r="AQ180" s="27"/>
      <c r="AR180" s="27"/>
      <c r="AX180" s="140"/>
      <c r="AY180" s="140"/>
      <c r="AZ180" s="140"/>
      <c r="BA180" s="140"/>
      <c r="BB180" s="140"/>
      <c r="BW180" s="7"/>
      <c r="BX180" s="7"/>
      <c r="BY180" s="20"/>
      <c r="BZ180" s="2"/>
      <c r="CA180" s="181"/>
      <c r="CB180" s="2"/>
      <c r="CC180" s="2"/>
      <c r="CD180" s="181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>
        <f t="shared" si="211"/>
      </c>
      <c r="CR180" s="2">
        <f t="shared" si="210"/>
      </c>
      <c r="CS180" s="128"/>
      <c r="CT180" s="2"/>
      <c r="CU180" s="2"/>
      <c r="CV180" s="128"/>
      <c r="CW180" s="2"/>
      <c r="CX180" s="2"/>
      <c r="CY180" s="128"/>
      <c r="CZ180" s="2"/>
      <c r="DA180" s="2"/>
      <c r="DB180" s="128"/>
      <c r="DC180" s="2">
        <f t="shared" si="212"/>
      </c>
      <c r="DD180" s="2">
        <f t="shared" si="213"/>
      </c>
      <c r="DE180" s="128">
        <f t="shared" si="214"/>
      </c>
      <c r="DF180" s="2"/>
      <c r="DG180" s="2"/>
      <c r="DH180" s="128"/>
      <c r="DI180" s="2">
        <f t="shared" si="215"/>
      </c>
      <c r="DJ180" s="2">
        <f t="shared" si="216"/>
      </c>
      <c r="DK180" s="128">
        <f t="shared" si="217"/>
      </c>
      <c r="DL180" s="128"/>
      <c r="DM180" s="21"/>
      <c r="DN180" s="2"/>
      <c r="DO180" s="2"/>
      <c r="DP180" s="2"/>
      <c r="DQ180" s="2"/>
      <c r="DR180" s="2"/>
      <c r="DS180" s="2"/>
      <c r="DT180" s="2"/>
      <c r="DU180" s="2"/>
      <c r="DV180" s="10"/>
      <c r="DW180" s="2"/>
      <c r="DX180" s="2"/>
      <c r="EB180" s="212"/>
      <c r="EC180" s="212"/>
      <c r="ED180" s="212"/>
      <c r="EN180" s="318"/>
      <c r="EO180" s="137"/>
      <c r="EP180" s="318"/>
      <c r="EQ180" s="318"/>
    </row>
    <row r="181" spans="2:147" s="136" customFormat="1" ht="16.5" hidden="1">
      <c r="B181" s="53"/>
      <c r="C181" s="53"/>
      <c r="D181" s="26"/>
      <c r="E181" s="26"/>
      <c r="F181" s="26"/>
      <c r="G181" s="53"/>
      <c r="H181" s="132"/>
      <c r="I181" s="132"/>
      <c r="J181" s="53"/>
      <c r="K181" s="117"/>
      <c r="L181" s="117"/>
      <c r="M181" s="117"/>
      <c r="N181" s="537"/>
      <c r="O181" s="537"/>
      <c r="P181" s="537"/>
      <c r="Q181" s="537"/>
      <c r="R181" s="134"/>
      <c r="S181" s="133"/>
      <c r="T181" s="133"/>
      <c r="U181" s="133"/>
      <c r="V181" s="243"/>
      <c r="W181" s="243"/>
      <c r="X181" s="243"/>
      <c r="Y181" s="243"/>
      <c r="Z181" s="239"/>
      <c r="AA181" s="239"/>
      <c r="AB181" s="139"/>
      <c r="AC181" s="139">
        <f>INDEX(B31:B113,AC180)</f>
        <v>116</v>
      </c>
      <c r="AD181" s="239"/>
      <c r="AE181" s="239"/>
      <c r="AF181" s="139"/>
      <c r="AG181" s="139"/>
      <c r="AP181" s="27"/>
      <c r="AQ181" s="27"/>
      <c r="AR181" s="27"/>
      <c r="AX181" s="140"/>
      <c r="AY181" s="140"/>
      <c r="AZ181" s="140"/>
      <c r="BA181" s="140"/>
      <c r="BB181" s="140"/>
      <c r="BW181" s="7"/>
      <c r="BX181" s="7"/>
      <c r="BY181" s="20"/>
      <c r="BZ181" s="2"/>
      <c r="CA181" s="181"/>
      <c r="CB181" s="2"/>
      <c r="CC181" s="2"/>
      <c r="CD181" s="181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>
        <f t="shared" si="211"/>
      </c>
      <c r="CR181" s="2">
        <f t="shared" si="210"/>
      </c>
      <c r="CS181" s="128"/>
      <c r="CT181" s="2"/>
      <c r="CU181" s="2"/>
      <c r="CV181" s="128"/>
      <c r="CW181" s="2"/>
      <c r="CX181" s="2"/>
      <c r="CY181" s="128"/>
      <c r="CZ181" s="2"/>
      <c r="DA181" s="2"/>
      <c r="DB181" s="128"/>
      <c r="DC181" s="2">
        <f t="shared" si="212"/>
      </c>
      <c r="DD181" s="2">
        <f t="shared" si="213"/>
      </c>
      <c r="DE181" s="128">
        <f t="shared" si="214"/>
      </c>
      <c r="DF181" s="2"/>
      <c r="DG181" s="2"/>
      <c r="DH181" s="128"/>
      <c r="DI181" s="2">
        <f t="shared" si="215"/>
      </c>
      <c r="DJ181" s="2">
        <f t="shared" si="216"/>
      </c>
      <c r="DK181" s="128">
        <f t="shared" si="217"/>
      </c>
      <c r="DL181" s="128"/>
      <c r="DM181" s="21"/>
      <c r="DN181" s="2"/>
      <c r="DO181" s="2"/>
      <c r="DP181" s="2"/>
      <c r="DQ181" s="2"/>
      <c r="DR181" s="2"/>
      <c r="DS181" s="2"/>
      <c r="DT181" s="2"/>
      <c r="DU181" s="2"/>
      <c r="DV181" s="10"/>
      <c r="DW181" s="2"/>
      <c r="DX181" s="2"/>
      <c r="EB181" s="212"/>
      <c r="EC181" s="212"/>
      <c r="ED181" s="212"/>
      <c r="EN181" s="318"/>
      <c r="EO181" s="137"/>
      <c r="EP181" s="318"/>
      <c r="EQ181" s="318"/>
    </row>
    <row r="182" spans="2:147" s="136" customFormat="1" ht="16.5" hidden="1">
      <c r="B182" s="53"/>
      <c r="C182" s="53"/>
      <c r="D182" s="26"/>
      <c r="E182" s="26"/>
      <c r="F182" s="26"/>
      <c r="G182" s="53"/>
      <c r="H182" s="132"/>
      <c r="I182" s="132"/>
      <c r="J182" s="53"/>
      <c r="K182" s="117"/>
      <c r="L182" s="117"/>
      <c r="M182" s="117"/>
      <c r="N182" s="537"/>
      <c r="O182" s="537"/>
      <c r="P182" s="537"/>
      <c r="Q182" s="537"/>
      <c r="R182" s="134"/>
      <c r="S182" s="133"/>
      <c r="T182" s="133"/>
      <c r="U182" s="133"/>
      <c r="V182" s="138"/>
      <c r="W182" s="138"/>
      <c r="X182" s="138"/>
      <c r="Y182" s="138"/>
      <c r="AB182" s="140"/>
      <c r="AC182" s="139" t="str">
        <f>IF(OR(AC150="",AC150=1),"選擇減額無實益",AC181&amp;"."&amp;U7&amp;"."&amp;W7)</f>
        <v>116.2.5</v>
      </c>
      <c r="AF182" s="139"/>
      <c r="AG182" s="139"/>
      <c r="AP182" s="27"/>
      <c r="AQ182" s="27"/>
      <c r="AR182" s="27"/>
      <c r="AX182" s="140"/>
      <c r="AY182" s="140"/>
      <c r="AZ182" s="140"/>
      <c r="BA182" s="140"/>
      <c r="BB182" s="140"/>
      <c r="BW182" s="7"/>
      <c r="BX182" s="7"/>
      <c r="BY182" s="20"/>
      <c r="BZ182" s="2"/>
      <c r="CA182" s="181"/>
      <c r="CB182" s="2"/>
      <c r="CC182" s="2"/>
      <c r="CD182" s="181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>
        <f t="shared" si="211"/>
      </c>
      <c r="CR182" s="2">
        <f t="shared" si="210"/>
      </c>
      <c r="CS182" s="128"/>
      <c r="CT182" s="2"/>
      <c r="CU182" s="2"/>
      <c r="CV182" s="128"/>
      <c r="CW182" s="2"/>
      <c r="CX182" s="2"/>
      <c r="CY182" s="128"/>
      <c r="CZ182" s="2"/>
      <c r="DA182" s="2"/>
      <c r="DB182" s="128"/>
      <c r="DC182" s="2">
        <f t="shared" si="212"/>
      </c>
      <c r="DD182" s="2">
        <f t="shared" si="213"/>
      </c>
      <c r="DE182" s="128">
        <f t="shared" si="214"/>
      </c>
      <c r="DF182" s="2"/>
      <c r="DG182" s="2"/>
      <c r="DH182" s="128"/>
      <c r="DI182" s="2">
        <f t="shared" si="215"/>
      </c>
      <c r="DJ182" s="2">
        <f t="shared" si="216"/>
      </c>
      <c r="DK182" s="128">
        <f t="shared" si="217"/>
      </c>
      <c r="DL182" s="128"/>
      <c r="DM182" s="21"/>
      <c r="DN182" s="2"/>
      <c r="DO182" s="2"/>
      <c r="DP182" s="2"/>
      <c r="DQ182" s="2"/>
      <c r="DR182" s="2"/>
      <c r="DS182" s="2"/>
      <c r="DT182" s="2"/>
      <c r="DU182" s="2"/>
      <c r="DV182" s="10"/>
      <c r="DW182" s="2"/>
      <c r="DX182" s="2"/>
      <c r="EB182" s="212"/>
      <c r="EC182" s="212"/>
      <c r="ED182" s="212"/>
      <c r="EN182" s="318"/>
      <c r="EO182" s="137"/>
      <c r="EP182" s="318"/>
      <c r="EQ182" s="318"/>
    </row>
    <row r="183" spans="2:147" s="136" customFormat="1" ht="16.5" hidden="1">
      <c r="B183" s="53"/>
      <c r="C183" s="53"/>
      <c r="D183" s="26"/>
      <c r="E183" s="26"/>
      <c r="F183" s="26"/>
      <c r="G183" s="53"/>
      <c r="H183" s="132"/>
      <c r="I183" s="132"/>
      <c r="J183" s="53"/>
      <c r="K183" s="117"/>
      <c r="L183" s="117"/>
      <c r="M183" s="117"/>
      <c r="N183" s="537"/>
      <c r="O183" s="537"/>
      <c r="P183" s="537"/>
      <c r="Q183" s="537"/>
      <c r="R183" s="134"/>
      <c r="S183" s="133"/>
      <c r="T183" s="133"/>
      <c r="U183" s="133"/>
      <c r="V183" s="138"/>
      <c r="W183" s="138"/>
      <c r="X183" s="138"/>
      <c r="Y183" s="138"/>
      <c r="AB183" s="140"/>
      <c r="AC183" s="139"/>
      <c r="AF183" s="139"/>
      <c r="AG183" s="139"/>
      <c r="AP183" s="27"/>
      <c r="AQ183" s="27"/>
      <c r="AR183" s="27"/>
      <c r="AX183" s="140"/>
      <c r="AY183" s="140"/>
      <c r="AZ183" s="140"/>
      <c r="BA183" s="140"/>
      <c r="BB183" s="140"/>
      <c r="BW183" s="7"/>
      <c r="BX183" s="7"/>
      <c r="BY183" s="20"/>
      <c r="BZ183" s="2"/>
      <c r="CA183" s="181"/>
      <c r="CB183" s="2"/>
      <c r="CC183" s="2"/>
      <c r="CD183" s="181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>
        <f t="shared" si="211"/>
      </c>
      <c r="CR183" s="2">
        <f t="shared" si="210"/>
      </c>
      <c r="CS183" s="128"/>
      <c r="CT183" s="2"/>
      <c r="CU183" s="2"/>
      <c r="CV183" s="128"/>
      <c r="CW183" s="2"/>
      <c r="CX183" s="2"/>
      <c r="CY183" s="128"/>
      <c r="CZ183" s="2"/>
      <c r="DA183" s="2"/>
      <c r="DB183" s="128"/>
      <c r="DC183" s="2">
        <f t="shared" si="212"/>
      </c>
      <c r="DD183" s="2">
        <f t="shared" si="213"/>
      </c>
      <c r="DE183" s="128">
        <f t="shared" si="214"/>
      </c>
      <c r="DF183" s="2"/>
      <c r="DG183" s="2"/>
      <c r="DH183" s="128"/>
      <c r="DI183" s="2">
        <f t="shared" si="215"/>
      </c>
      <c r="DJ183" s="2">
        <f t="shared" si="216"/>
      </c>
      <c r="DK183" s="128">
        <f t="shared" si="217"/>
      </c>
      <c r="DL183" s="128"/>
      <c r="DM183" s="21"/>
      <c r="DN183" s="2"/>
      <c r="DO183" s="2"/>
      <c r="DP183" s="2"/>
      <c r="DQ183" s="2"/>
      <c r="DR183" s="2"/>
      <c r="DS183" s="2"/>
      <c r="DT183" s="2"/>
      <c r="DU183" s="2"/>
      <c r="DV183" s="10"/>
      <c r="DW183" s="2"/>
      <c r="DX183" s="2"/>
      <c r="EB183" s="212"/>
      <c r="EC183" s="212"/>
      <c r="ED183" s="212"/>
      <c r="EN183" s="318"/>
      <c r="EO183" s="137"/>
      <c r="EP183" s="318"/>
      <c r="EQ183" s="318"/>
    </row>
    <row r="184" spans="2:147" s="136" customFormat="1" ht="16.5" hidden="1">
      <c r="B184" s="53"/>
      <c r="C184" s="53"/>
      <c r="D184" s="26"/>
      <c r="E184" s="26"/>
      <c r="F184" s="26"/>
      <c r="G184" s="53"/>
      <c r="H184" s="132"/>
      <c r="I184" s="132"/>
      <c r="J184" s="53"/>
      <c r="K184" s="117"/>
      <c r="L184" s="117"/>
      <c r="M184" s="117"/>
      <c r="N184" s="537"/>
      <c r="O184" s="537"/>
      <c r="P184" s="537"/>
      <c r="Q184" s="537"/>
      <c r="R184" s="134"/>
      <c r="S184" s="133"/>
      <c r="T184" s="133"/>
      <c r="U184" s="133"/>
      <c r="V184" s="138"/>
      <c r="W184" s="138"/>
      <c r="X184" s="138"/>
      <c r="Y184" s="138"/>
      <c r="AB184" s="140"/>
      <c r="AC184" s="140"/>
      <c r="AF184" s="139"/>
      <c r="AG184" s="139"/>
      <c r="AP184" s="27"/>
      <c r="AQ184" s="27"/>
      <c r="AR184" s="27"/>
      <c r="AX184" s="140"/>
      <c r="AY184" s="140"/>
      <c r="AZ184" s="140"/>
      <c r="BA184" s="140"/>
      <c r="BB184" s="140"/>
      <c r="BW184" s="7"/>
      <c r="BX184" s="7"/>
      <c r="BY184" s="20"/>
      <c r="BZ184" s="2"/>
      <c r="CA184" s="181"/>
      <c r="CB184" s="2"/>
      <c r="CC184" s="2"/>
      <c r="CD184" s="181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>
        <f t="shared" si="211"/>
      </c>
      <c r="CR184" s="2">
        <f t="shared" si="210"/>
      </c>
      <c r="CS184" s="128"/>
      <c r="CT184" s="2"/>
      <c r="CU184" s="2"/>
      <c r="CV184" s="128"/>
      <c r="CW184" s="2"/>
      <c r="CX184" s="2"/>
      <c r="CY184" s="128"/>
      <c r="CZ184" s="2"/>
      <c r="DA184" s="2"/>
      <c r="DB184" s="128"/>
      <c r="DC184" s="2">
        <f t="shared" si="212"/>
      </c>
      <c r="DD184" s="2">
        <f t="shared" si="213"/>
      </c>
      <c r="DE184" s="128">
        <f t="shared" si="214"/>
      </c>
      <c r="DF184" s="2"/>
      <c r="DG184" s="2"/>
      <c r="DH184" s="128"/>
      <c r="DI184" s="2">
        <f t="shared" si="215"/>
      </c>
      <c r="DJ184" s="2">
        <f t="shared" si="216"/>
      </c>
      <c r="DK184" s="128">
        <f t="shared" si="217"/>
      </c>
      <c r="DL184" s="128"/>
      <c r="DM184" s="21"/>
      <c r="DN184" s="2"/>
      <c r="DO184" s="2"/>
      <c r="DP184" s="2"/>
      <c r="DQ184" s="2"/>
      <c r="DR184" s="2"/>
      <c r="DS184" s="2"/>
      <c r="DT184" s="2"/>
      <c r="DU184" s="2"/>
      <c r="DV184" s="10"/>
      <c r="DW184" s="2"/>
      <c r="DX184" s="2"/>
      <c r="EB184" s="212"/>
      <c r="EC184" s="212"/>
      <c r="ED184" s="212"/>
      <c r="EN184" s="318"/>
      <c r="EO184" s="137"/>
      <c r="EP184" s="318"/>
      <c r="EQ184" s="318"/>
    </row>
    <row r="185" spans="2:147" s="136" customFormat="1" ht="16.5" hidden="1">
      <c r="B185" s="53"/>
      <c r="C185" s="53"/>
      <c r="D185" s="26"/>
      <c r="E185" s="26"/>
      <c r="F185" s="26"/>
      <c r="G185" s="53"/>
      <c r="H185" s="132"/>
      <c r="I185" s="132"/>
      <c r="J185" s="53"/>
      <c r="K185" s="117"/>
      <c r="L185" s="117"/>
      <c r="M185" s="117"/>
      <c r="N185" s="537"/>
      <c r="O185" s="537"/>
      <c r="P185" s="537"/>
      <c r="Q185" s="537"/>
      <c r="R185" s="134"/>
      <c r="S185" s="133"/>
      <c r="T185" s="133"/>
      <c r="U185" s="133"/>
      <c r="V185" s="138"/>
      <c r="W185" s="138"/>
      <c r="X185" s="138"/>
      <c r="Y185" s="138"/>
      <c r="AB185" s="140"/>
      <c r="AC185" s="140"/>
      <c r="AF185" s="139"/>
      <c r="AG185" s="139"/>
      <c r="AP185" s="27"/>
      <c r="AQ185" s="27"/>
      <c r="AR185" s="27"/>
      <c r="AX185" s="140"/>
      <c r="AY185" s="140"/>
      <c r="AZ185" s="140"/>
      <c r="BA185" s="140"/>
      <c r="BB185" s="140"/>
      <c r="BW185" s="7"/>
      <c r="BX185" s="7"/>
      <c r="BY185" s="20"/>
      <c r="BZ185" s="2"/>
      <c r="CA185" s="181"/>
      <c r="CB185" s="2"/>
      <c r="CC185" s="2"/>
      <c r="CD185" s="181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>
        <f t="shared" si="211"/>
      </c>
      <c r="CR185" s="2">
        <f t="shared" si="210"/>
      </c>
      <c r="CS185" s="128"/>
      <c r="CT185" s="2"/>
      <c r="CU185" s="2"/>
      <c r="CV185" s="128"/>
      <c r="CW185" s="2"/>
      <c r="CX185" s="2"/>
      <c r="CY185" s="128"/>
      <c r="CZ185" s="2"/>
      <c r="DA185" s="2"/>
      <c r="DB185" s="128"/>
      <c r="DC185" s="2">
        <f t="shared" si="212"/>
      </c>
      <c r="DD185" s="2">
        <f t="shared" si="213"/>
      </c>
      <c r="DE185" s="128">
        <f t="shared" si="214"/>
      </c>
      <c r="DF185" s="2"/>
      <c r="DG185" s="2"/>
      <c r="DH185" s="128"/>
      <c r="DI185" s="2">
        <f t="shared" si="215"/>
      </c>
      <c r="DJ185" s="2">
        <f t="shared" si="216"/>
      </c>
      <c r="DK185" s="128">
        <f t="shared" si="217"/>
      </c>
      <c r="DL185" s="128"/>
      <c r="DM185" s="21"/>
      <c r="DN185" s="2"/>
      <c r="DO185" s="2"/>
      <c r="DP185" s="2"/>
      <c r="DQ185" s="2"/>
      <c r="DR185" s="2"/>
      <c r="DS185" s="2"/>
      <c r="DT185" s="2"/>
      <c r="DU185" s="2"/>
      <c r="DV185" s="10"/>
      <c r="DW185" s="2"/>
      <c r="DX185" s="2"/>
      <c r="EB185" s="212"/>
      <c r="EC185" s="212"/>
      <c r="ED185" s="212"/>
      <c r="EN185" s="318"/>
      <c r="EO185" s="137"/>
      <c r="EP185" s="318"/>
      <c r="EQ185" s="318"/>
    </row>
    <row r="186" spans="2:147" s="136" customFormat="1" ht="16.5" hidden="1">
      <c r="B186" s="53"/>
      <c r="C186" s="53"/>
      <c r="D186" s="26"/>
      <c r="E186" s="26"/>
      <c r="F186" s="26"/>
      <c r="G186" s="53"/>
      <c r="H186" s="132"/>
      <c r="I186" s="132"/>
      <c r="J186" s="53"/>
      <c r="K186" s="117"/>
      <c r="L186" s="117"/>
      <c r="M186" s="117"/>
      <c r="N186" s="537"/>
      <c r="O186" s="537"/>
      <c r="P186" s="537"/>
      <c r="Q186" s="537"/>
      <c r="R186" s="134"/>
      <c r="S186" s="133"/>
      <c r="T186" s="133"/>
      <c r="U186" s="133"/>
      <c r="V186" s="138"/>
      <c r="W186" s="138"/>
      <c r="X186" s="138"/>
      <c r="Y186" s="138"/>
      <c r="AB186" s="140"/>
      <c r="AC186" s="140"/>
      <c r="AF186" s="139"/>
      <c r="AG186" s="139"/>
      <c r="AP186" s="27"/>
      <c r="AQ186" s="27"/>
      <c r="AR186" s="27"/>
      <c r="AX186" s="140"/>
      <c r="AY186" s="140"/>
      <c r="AZ186" s="140"/>
      <c r="BA186" s="140"/>
      <c r="BB186" s="140"/>
      <c r="BW186" s="7"/>
      <c r="BX186" s="7"/>
      <c r="BY186" s="20"/>
      <c r="BZ186" s="2"/>
      <c r="CA186" s="181"/>
      <c r="CB186" s="2"/>
      <c r="CC186" s="2"/>
      <c r="CD186" s="181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>
        <f t="shared" si="211"/>
      </c>
      <c r="CR186" s="2">
        <f t="shared" si="210"/>
      </c>
      <c r="CS186" s="128"/>
      <c r="CT186" s="2"/>
      <c r="CU186" s="2"/>
      <c r="CV186" s="128"/>
      <c r="CW186" s="2"/>
      <c r="CX186" s="2"/>
      <c r="CY186" s="128"/>
      <c r="CZ186" s="2"/>
      <c r="DA186" s="2"/>
      <c r="DB186" s="128"/>
      <c r="DC186" s="2">
        <f t="shared" si="212"/>
      </c>
      <c r="DD186" s="2">
        <f t="shared" si="213"/>
      </c>
      <c r="DE186" s="128">
        <f t="shared" si="214"/>
      </c>
      <c r="DF186" s="2"/>
      <c r="DG186" s="2"/>
      <c r="DH186" s="128"/>
      <c r="DI186" s="2">
        <f t="shared" si="215"/>
      </c>
      <c r="DJ186" s="2">
        <f t="shared" si="216"/>
      </c>
      <c r="DK186" s="128">
        <f t="shared" si="217"/>
      </c>
      <c r="DL186" s="128"/>
      <c r="DM186" s="21"/>
      <c r="DN186" s="2"/>
      <c r="DO186" s="2"/>
      <c r="DP186" s="2"/>
      <c r="DQ186" s="2"/>
      <c r="DR186" s="2"/>
      <c r="DS186" s="2"/>
      <c r="DT186" s="2"/>
      <c r="DU186" s="2"/>
      <c r="DV186" s="10"/>
      <c r="DW186" s="2"/>
      <c r="DX186" s="2"/>
      <c r="EB186" s="212"/>
      <c r="EC186" s="212"/>
      <c r="ED186" s="212"/>
      <c r="EN186" s="318"/>
      <c r="EO186" s="137"/>
      <c r="EP186" s="318"/>
      <c r="EQ186" s="318"/>
    </row>
    <row r="187" spans="2:147" s="136" customFormat="1" ht="16.5" hidden="1">
      <c r="B187" s="53"/>
      <c r="C187" s="53"/>
      <c r="D187" s="26"/>
      <c r="E187" s="26"/>
      <c r="F187" s="26"/>
      <c r="G187" s="53"/>
      <c r="H187" s="132"/>
      <c r="I187" s="132"/>
      <c r="J187" s="53"/>
      <c r="K187" s="117"/>
      <c r="L187" s="117"/>
      <c r="M187" s="117"/>
      <c r="N187" s="537"/>
      <c r="O187" s="537"/>
      <c r="P187" s="537"/>
      <c r="Q187" s="537"/>
      <c r="R187" s="134"/>
      <c r="S187" s="133"/>
      <c r="T187" s="133"/>
      <c r="U187" s="133"/>
      <c r="V187" s="138"/>
      <c r="W187" s="138"/>
      <c r="X187" s="138"/>
      <c r="Y187" s="138"/>
      <c r="AB187" s="140"/>
      <c r="AC187" s="140"/>
      <c r="AF187" s="139"/>
      <c r="AG187" s="139"/>
      <c r="AP187" s="27"/>
      <c r="AQ187" s="27"/>
      <c r="AR187" s="27"/>
      <c r="AX187" s="140"/>
      <c r="AY187" s="140"/>
      <c r="AZ187" s="140"/>
      <c r="BA187" s="140"/>
      <c r="BB187" s="140"/>
      <c r="BW187" s="7"/>
      <c r="BX187" s="7"/>
      <c r="BY187" s="20"/>
      <c r="BZ187" s="2"/>
      <c r="CA187" s="181"/>
      <c r="CB187" s="2"/>
      <c r="CC187" s="2"/>
      <c r="CD187" s="181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>
        <f t="shared" si="211"/>
      </c>
      <c r="CR187" s="2">
        <f t="shared" si="210"/>
      </c>
      <c r="CS187" s="128"/>
      <c r="CT187" s="2"/>
      <c r="CU187" s="2"/>
      <c r="CV187" s="128"/>
      <c r="CW187" s="2"/>
      <c r="CX187" s="2"/>
      <c r="CY187" s="128"/>
      <c r="CZ187" s="2"/>
      <c r="DA187" s="2"/>
      <c r="DB187" s="128"/>
      <c r="DC187" s="2">
        <f t="shared" si="212"/>
      </c>
      <c r="DD187" s="2">
        <f t="shared" si="213"/>
      </c>
      <c r="DE187" s="128">
        <f t="shared" si="214"/>
      </c>
      <c r="DF187" s="2"/>
      <c r="DG187" s="2"/>
      <c r="DH187" s="128"/>
      <c r="DI187" s="2">
        <f t="shared" si="215"/>
      </c>
      <c r="DJ187" s="2">
        <f t="shared" si="216"/>
      </c>
      <c r="DK187" s="128">
        <f t="shared" si="217"/>
      </c>
      <c r="DL187" s="128"/>
      <c r="DM187" s="21"/>
      <c r="DN187" s="2"/>
      <c r="DO187" s="2"/>
      <c r="DP187" s="2"/>
      <c r="DQ187" s="2"/>
      <c r="DR187" s="2"/>
      <c r="DS187" s="2"/>
      <c r="DT187" s="2"/>
      <c r="DU187" s="2"/>
      <c r="DV187" s="10"/>
      <c r="DW187" s="2"/>
      <c r="DX187" s="2"/>
      <c r="EB187" s="212"/>
      <c r="EC187" s="212"/>
      <c r="ED187" s="212"/>
      <c r="EN187" s="318"/>
      <c r="EO187" s="137"/>
      <c r="EP187" s="318"/>
      <c r="EQ187" s="318"/>
    </row>
    <row r="188" ht="16.5" hidden="1"/>
    <row r="189" ht="16.5" hidden="1"/>
    <row r="190" ht="16.5" hidden="1"/>
  </sheetData>
  <sheetProtection password="ADE5" sheet="1"/>
  <mergeCells count="324">
    <mergeCell ref="Z163:AF163"/>
    <mergeCell ref="V160:Y160"/>
    <mergeCell ref="V161:Y161"/>
    <mergeCell ref="V156:Y156"/>
    <mergeCell ref="W84:Z84"/>
    <mergeCell ref="V157:Y157"/>
    <mergeCell ref="V158:Y158"/>
    <mergeCell ref="V159:Y159"/>
    <mergeCell ref="W85:Z85"/>
    <mergeCell ref="W94:Z94"/>
    <mergeCell ref="W77:Z77"/>
    <mergeCell ref="BK24:BK27"/>
    <mergeCell ref="W74:Z74"/>
    <mergeCell ref="W66:Z66"/>
    <mergeCell ref="T17:AC17"/>
    <mergeCell ref="T20:AC20"/>
    <mergeCell ref="BH28:BJ29"/>
    <mergeCell ref="BK28:BM29"/>
    <mergeCell ref="W69:Z69"/>
    <mergeCell ref="W71:Z71"/>
    <mergeCell ref="W95:Z95"/>
    <mergeCell ref="W96:Z96"/>
    <mergeCell ref="W97:Z97"/>
    <mergeCell ref="W75:Z75"/>
    <mergeCell ref="W81:Z81"/>
    <mergeCell ref="W93:Z93"/>
    <mergeCell ref="W87:Z87"/>
    <mergeCell ref="W88:Z88"/>
    <mergeCell ref="W78:Z78"/>
    <mergeCell ref="W79:Z79"/>
    <mergeCell ref="W100:Z100"/>
    <mergeCell ref="W70:Z70"/>
    <mergeCell ref="W60:Z60"/>
    <mergeCell ref="W61:Z61"/>
    <mergeCell ref="W62:Z62"/>
    <mergeCell ref="W63:Z63"/>
    <mergeCell ref="W64:Z64"/>
    <mergeCell ref="W65:Z65"/>
    <mergeCell ref="W68:Z68"/>
    <mergeCell ref="W67:Z67"/>
    <mergeCell ref="W76:Z76"/>
    <mergeCell ref="W102:Z102"/>
    <mergeCell ref="W103:Z103"/>
    <mergeCell ref="W72:Z72"/>
    <mergeCell ref="W98:Z98"/>
    <mergeCell ref="W91:Z91"/>
    <mergeCell ref="W92:Z92"/>
    <mergeCell ref="W89:Z89"/>
    <mergeCell ref="W90:Z90"/>
    <mergeCell ref="W86:Z86"/>
    <mergeCell ref="W110:Z110"/>
    <mergeCell ref="W111:Z111"/>
    <mergeCell ref="W104:Z104"/>
    <mergeCell ref="W105:Z105"/>
    <mergeCell ref="W73:Z73"/>
    <mergeCell ref="W99:Z99"/>
    <mergeCell ref="W82:Z82"/>
    <mergeCell ref="W83:Z83"/>
    <mergeCell ref="W80:Z80"/>
    <mergeCell ref="W101:Z101"/>
    <mergeCell ref="W55:Z55"/>
    <mergeCell ref="W56:Z56"/>
    <mergeCell ref="W57:Z57"/>
    <mergeCell ref="W58:Z58"/>
    <mergeCell ref="W113:Z113"/>
    <mergeCell ref="W106:Z106"/>
    <mergeCell ref="W107:Z107"/>
    <mergeCell ref="W108:Z108"/>
    <mergeCell ref="W109:Z109"/>
    <mergeCell ref="W112:Z112"/>
    <mergeCell ref="W49:Z49"/>
    <mergeCell ref="W50:Z50"/>
    <mergeCell ref="W51:Z51"/>
    <mergeCell ref="W52:Z52"/>
    <mergeCell ref="W53:Z53"/>
    <mergeCell ref="W54:Z54"/>
    <mergeCell ref="N111:Q111"/>
    <mergeCell ref="N112:Q112"/>
    <mergeCell ref="N113:Q113"/>
    <mergeCell ref="D29:F29"/>
    <mergeCell ref="N107:Q107"/>
    <mergeCell ref="N108:Q108"/>
    <mergeCell ref="N109:Q109"/>
    <mergeCell ref="N110:Q110"/>
    <mergeCell ref="N103:Q103"/>
    <mergeCell ref="N104:Q104"/>
    <mergeCell ref="N105:Q105"/>
    <mergeCell ref="N106:Q106"/>
    <mergeCell ref="N99:Q99"/>
    <mergeCell ref="N100:Q100"/>
    <mergeCell ref="N101:Q101"/>
    <mergeCell ref="N102:Q102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N81:Q81"/>
    <mergeCell ref="N82:Q82"/>
    <mergeCell ref="N83:Q83"/>
    <mergeCell ref="N84:Q84"/>
    <mergeCell ref="N85:Q85"/>
    <mergeCell ref="N86:Q86"/>
    <mergeCell ref="N75:Q75"/>
    <mergeCell ref="N76:Q76"/>
    <mergeCell ref="N77:Q77"/>
    <mergeCell ref="N78:Q78"/>
    <mergeCell ref="N79:Q79"/>
    <mergeCell ref="N80:Q80"/>
    <mergeCell ref="N69:Q69"/>
    <mergeCell ref="N70:Q70"/>
    <mergeCell ref="N71:Q71"/>
    <mergeCell ref="N72:Q72"/>
    <mergeCell ref="N73:Q73"/>
    <mergeCell ref="N74:Q74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N45:Q45"/>
    <mergeCell ref="N46:Q46"/>
    <mergeCell ref="N47:Q47"/>
    <mergeCell ref="N48:Q48"/>
    <mergeCell ref="N49:Q49"/>
    <mergeCell ref="N50:Q50"/>
    <mergeCell ref="B5:I5"/>
    <mergeCell ref="B1:AD1"/>
    <mergeCell ref="S5:V5"/>
    <mergeCell ref="W38:Z38"/>
    <mergeCell ref="N35:Q35"/>
    <mergeCell ref="N29:Q30"/>
    <mergeCell ref="S29:U29"/>
    <mergeCell ref="N31:Q31"/>
    <mergeCell ref="W36:Z36"/>
    <mergeCell ref="W37:Z37"/>
    <mergeCell ref="N115:Q115"/>
    <mergeCell ref="N116:Q116"/>
    <mergeCell ref="N117:Q117"/>
    <mergeCell ref="N10:R10"/>
    <mergeCell ref="N32:Q32"/>
    <mergeCell ref="N33:Q33"/>
    <mergeCell ref="N34:Q34"/>
    <mergeCell ref="N36:Q36"/>
    <mergeCell ref="N37:Q37"/>
    <mergeCell ref="N38:Q38"/>
    <mergeCell ref="N122:Q122"/>
    <mergeCell ref="N123:Q123"/>
    <mergeCell ref="N124:Q124"/>
    <mergeCell ref="N125:Q125"/>
    <mergeCell ref="N118:Q118"/>
    <mergeCell ref="N119:Q119"/>
    <mergeCell ref="N120:Q120"/>
    <mergeCell ref="N121:Q121"/>
    <mergeCell ref="N130:Q130"/>
    <mergeCell ref="N131:Q131"/>
    <mergeCell ref="N132:Q132"/>
    <mergeCell ref="N133:Q133"/>
    <mergeCell ref="N126:Q126"/>
    <mergeCell ref="N127:Q127"/>
    <mergeCell ref="N128:Q128"/>
    <mergeCell ref="N129:Q129"/>
    <mergeCell ref="N138:Q138"/>
    <mergeCell ref="N139:Q139"/>
    <mergeCell ref="N140:Q140"/>
    <mergeCell ref="N141:Q141"/>
    <mergeCell ref="N134:Q134"/>
    <mergeCell ref="N135:Q135"/>
    <mergeCell ref="N136:Q136"/>
    <mergeCell ref="N137:Q137"/>
    <mergeCell ref="N150:Q150"/>
    <mergeCell ref="N151:Q151"/>
    <mergeCell ref="N156:Q156"/>
    <mergeCell ref="N157:Q157"/>
    <mergeCell ref="N142:Q142"/>
    <mergeCell ref="N143:Q143"/>
    <mergeCell ref="N145:Q145"/>
    <mergeCell ref="N146:Q146"/>
    <mergeCell ref="N147:Q147"/>
    <mergeCell ref="N162:Q162"/>
    <mergeCell ref="N163:Q163"/>
    <mergeCell ref="N164:Q164"/>
    <mergeCell ref="N165:Q165"/>
    <mergeCell ref="N158:Q158"/>
    <mergeCell ref="N159:Q159"/>
    <mergeCell ref="N160:Q160"/>
    <mergeCell ref="N161:Q161"/>
    <mergeCell ref="N171:Q171"/>
    <mergeCell ref="N172:Q172"/>
    <mergeCell ref="N173:Q173"/>
    <mergeCell ref="N166:Q166"/>
    <mergeCell ref="N167:Q167"/>
    <mergeCell ref="N168:Q168"/>
    <mergeCell ref="N169:Q169"/>
    <mergeCell ref="N187:Q187"/>
    <mergeCell ref="N182:Q182"/>
    <mergeCell ref="N183:Q183"/>
    <mergeCell ref="N184:Q184"/>
    <mergeCell ref="N185:Q185"/>
    <mergeCell ref="N179:Q179"/>
    <mergeCell ref="N186:Q186"/>
    <mergeCell ref="N181:Q181"/>
    <mergeCell ref="N42:Q42"/>
    <mergeCell ref="N43:Q43"/>
    <mergeCell ref="N44:Q44"/>
    <mergeCell ref="N174:Q174"/>
    <mergeCell ref="N175:Q175"/>
    <mergeCell ref="N180:Q180"/>
    <mergeCell ref="N176:Q176"/>
    <mergeCell ref="N177:Q177"/>
    <mergeCell ref="N178:Q178"/>
    <mergeCell ref="N170:Q170"/>
    <mergeCell ref="N26:P26"/>
    <mergeCell ref="Q26:AC26"/>
    <mergeCell ref="V29:V30"/>
    <mergeCell ref="N39:Q39"/>
    <mergeCell ref="N40:Q40"/>
    <mergeCell ref="N41:Q41"/>
    <mergeCell ref="DW8:DX8"/>
    <mergeCell ref="DW9:DX9"/>
    <mergeCell ref="DN25:DV27"/>
    <mergeCell ref="H30:J30"/>
    <mergeCell ref="K30:M30"/>
    <mergeCell ref="W31:Z31"/>
    <mergeCell ref="P17:S17"/>
    <mergeCell ref="P20:S20"/>
    <mergeCell ref="Q18:AC18"/>
    <mergeCell ref="Q19:AA19"/>
    <mergeCell ref="CN27:CN30"/>
    <mergeCell ref="CM27:CM30"/>
    <mergeCell ref="CL27:CL30"/>
    <mergeCell ref="R29:R30"/>
    <mergeCell ref="DW2:DX2"/>
    <mergeCell ref="DN29:DQ29"/>
    <mergeCell ref="Y9:Z9"/>
    <mergeCell ref="Y10:Z10"/>
    <mergeCell ref="DW27:DX30"/>
    <mergeCell ref="DW5:DX5"/>
    <mergeCell ref="BY27:BY30"/>
    <mergeCell ref="CF27:CH29"/>
    <mergeCell ref="CI27:CK29"/>
    <mergeCell ref="CA27:CB29"/>
    <mergeCell ref="CC27:CC30"/>
    <mergeCell ref="CD27:CE29"/>
    <mergeCell ref="O8:R8"/>
    <mergeCell ref="N12:O12"/>
    <mergeCell ref="CO25:DM27"/>
    <mergeCell ref="CO29:CW29"/>
    <mergeCell ref="BM24:BM27"/>
    <mergeCell ref="BZ27:BZ30"/>
    <mergeCell ref="BU28:BU30"/>
    <mergeCell ref="BT28:BT30"/>
    <mergeCell ref="BQ29:BS29"/>
    <mergeCell ref="BV28:BV30"/>
    <mergeCell ref="Q22:AB22"/>
    <mergeCell ref="Q21:AB21"/>
    <mergeCell ref="Q2:Z2"/>
    <mergeCell ref="N13:O13"/>
    <mergeCell ref="S13:AC13"/>
    <mergeCell ref="P13:R13"/>
    <mergeCell ref="P15:AC15"/>
    <mergeCell ref="N5:R5"/>
    <mergeCell ref="AA7:AC8"/>
    <mergeCell ref="O7:R7"/>
    <mergeCell ref="W33:Z33"/>
    <mergeCell ref="W35:Z35"/>
    <mergeCell ref="P12:AC12"/>
    <mergeCell ref="CD5:CE7"/>
    <mergeCell ref="N9:R9"/>
    <mergeCell ref="AH21:AS21"/>
    <mergeCell ref="BD21:BM23"/>
    <mergeCell ref="N16:O16"/>
    <mergeCell ref="P14:AC14"/>
    <mergeCell ref="P16:AC16"/>
    <mergeCell ref="BE28:BG29"/>
    <mergeCell ref="W45:Z45"/>
    <mergeCell ref="P23:S23"/>
    <mergeCell ref="T23:Z23"/>
    <mergeCell ref="Y27:AB27"/>
    <mergeCell ref="R132:V132"/>
    <mergeCell ref="W34:Z34"/>
    <mergeCell ref="W39:Z39"/>
    <mergeCell ref="W40:Z40"/>
    <mergeCell ref="W41:Z41"/>
    <mergeCell ref="BX27:BX30"/>
    <mergeCell ref="BW27:BW30"/>
    <mergeCell ref="W32:Z32"/>
    <mergeCell ref="W29:Z30"/>
    <mergeCell ref="BL24:BL27"/>
    <mergeCell ref="W59:Z59"/>
    <mergeCell ref="W47:Z47"/>
    <mergeCell ref="W48:Z48"/>
    <mergeCell ref="W43:Z43"/>
    <mergeCell ref="W44:Z44"/>
    <mergeCell ref="R131:V131"/>
    <mergeCell ref="W46:Z46"/>
    <mergeCell ref="EK28:EK30"/>
    <mergeCell ref="EI27:EI29"/>
    <mergeCell ref="AG129:AG130"/>
    <mergeCell ref="AH129:AH130"/>
    <mergeCell ref="R130:V130"/>
    <mergeCell ref="W42:Z42"/>
    <mergeCell ref="BD24:BJ27"/>
    <mergeCell ref="BD28:BD30"/>
  </mergeCells>
  <conditionalFormatting sqref="AB114">
    <cfRule type="expression" priority="14" dxfId="7" stopIfTrue="1">
      <formula>AND(S114&gt;=50,T114&gt;=25,S114&lt;=65)</formula>
    </cfRule>
  </conditionalFormatting>
  <conditionalFormatting sqref="AC114">
    <cfRule type="expression" priority="15" dxfId="25" stopIfTrue="1">
      <formula>AND(T114&gt;=30,S114&gt;=55,S114&lt;=60)</formula>
    </cfRule>
    <cfRule type="expression" priority="16" dxfId="7" stopIfTrue="1">
      <formula>AND(T114&gt;=25,S114&gt;=60,S114&lt;=65)</formula>
    </cfRule>
  </conditionalFormatting>
  <conditionalFormatting sqref="BE31:BJ44">
    <cfRule type="expression" priority="17" dxfId="23" stopIfTrue="1">
      <formula>$BH31=0</formula>
    </cfRule>
    <cfRule type="expression" priority="18" dxfId="21" stopIfTrue="1">
      <formula>AND(BE31&gt;0,$BP30=$BN31)</formula>
    </cfRule>
    <cfRule type="expression" priority="19" dxfId="21" stopIfTrue="1">
      <formula>AND(BE31&gt;0,$BP31=$BN32)</formula>
    </cfRule>
  </conditionalFormatting>
  <conditionalFormatting sqref="AB31:AB113">
    <cfRule type="expression" priority="21" dxfId="7" stopIfTrue="1">
      <formula>AND(S31&gt;=5,T31&gt;=25,S31&lt;=58)</formula>
    </cfRule>
  </conditionalFormatting>
  <conditionalFormatting sqref="AC31:AC113">
    <cfRule type="expression" priority="23" dxfId="7" stopIfTrue="1">
      <formula>AND(T31&gt;=25,S31&gt;=53,S31&lt;=58)</formula>
    </cfRule>
  </conditionalFormatting>
  <conditionalFormatting sqref="N71:Q113">
    <cfRule type="expression" priority="25" dxfId="27" stopIfTrue="1">
      <formula>S71&gt;65</formula>
    </cfRule>
    <cfRule type="expression" priority="26" dxfId="17" stopIfTrue="1">
      <formula>OR(AND($S$5="公務人員",$R71&lt;90),AND($S$5="高中以下教師",$R71&lt;85))</formula>
    </cfRule>
  </conditionalFormatting>
  <conditionalFormatting sqref="B33:B41">
    <cfRule type="expression" priority="35" dxfId="28" stopIfTrue="1">
      <formula>OR(AND($S$5="公務人員",$R33&lt;90),AND($S$5="高中以下教師",$R33&lt;85))</formula>
    </cfRule>
  </conditionalFormatting>
  <conditionalFormatting sqref="V31:V113">
    <cfRule type="cellIs" priority="37" dxfId="29" operator="equal" stopIfTrue="1">
      <formula>"★"</formula>
    </cfRule>
  </conditionalFormatting>
  <conditionalFormatting sqref="W31:Z113">
    <cfRule type="cellIs" priority="41" dxfId="30" operator="equal" stopIfTrue="1">
      <formula>"已達法定指標，但可申請退休日期應參閱上方【分析結果】"</formula>
    </cfRule>
    <cfRule type="cellIs" priority="42" dxfId="31" operator="equal" stopIfTrue="1">
      <formula>"★ 您自本區間起，達到屆齡退休限齡"</formula>
    </cfRule>
    <cfRule type="cellIs" priority="43" dxfId="31" operator="equal" stopIfTrue="1">
      <formula>"已符基本條件，但可申請退休日期應參閱上方【分析結果】"</formula>
    </cfRule>
  </conditionalFormatting>
  <conditionalFormatting sqref="P18:AC18">
    <cfRule type="expression" priority="44" dxfId="32" stopIfTrue="1">
      <formula>LEFT($T$17,1)="【"</formula>
    </cfRule>
  </conditionalFormatting>
  <conditionalFormatting sqref="AC21">
    <cfRule type="expression" priority="45" dxfId="32" stopIfTrue="1">
      <formula>LEFT($T$20,1)="【"</formula>
    </cfRule>
  </conditionalFormatting>
  <conditionalFormatting sqref="P21:AB21">
    <cfRule type="expression" priority="46" dxfId="32" stopIfTrue="1">
      <formula>LEFT($T$20,1)="【"</formula>
    </cfRule>
  </conditionalFormatting>
  <conditionalFormatting sqref="AA7:AC10">
    <cfRule type="expression" priority="9" dxfId="33" stopIfTrue="1">
      <formula>$S$9+$U$9+$W$9+$S$10+$U$10+$W$10=0</formula>
    </cfRule>
  </conditionalFormatting>
  <conditionalFormatting sqref="AA31:AA113">
    <cfRule type="expression" priority="8" dxfId="7" stopIfTrue="1">
      <formula>AND(S31&gt;=50,T31&gt;=25,S31&lt;=65)</formula>
    </cfRule>
  </conditionalFormatting>
  <conditionalFormatting sqref="BM31:BM44">
    <cfRule type="expression" priority="7" dxfId="34" stopIfTrue="1">
      <formula>$C31=0</formula>
    </cfRule>
  </conditionalFormatting>
  <conditionalFormatting sqref="W31:Z70">
    <cfRule type="cellIs" priority="6" dxfId="35" operator="equal" stopIfTrue="1">
      <formula>"不符!!"</formula>
    </cfRule>
  </conditionalFormatting>
  <conditionalFormatting sqref="AB31:AB113">
    <cfRule type="expression" priority="5" dxfId="36" stopIfTrue="1">
      <formula>B31&gt;$AC$173</formula>
    </cfRule>
  </conditionalFormatting>
  <conditionalFormatting sqref="AC31:AC113">
    <cfRule type="expression" priority="4" dxfId="36" stopIfTrue="1">
      <formula>B31&gt;$AC$173</formula>
    </cfRule>
  </conditionalFormatting>
  <conditionalFormatting sqref="AC31:AC113">
    <cfRule type="cellIs" priority="3" dxfId="37" operator="equal" stopIfTrue="1">
      <formula>"★"</formula>
    </cfRule>
  </conditionalFormatting>
  <conditionalFormatting sqref="AB31:AB113">
    <cfRule type="cellIs" priority="2" dxfId="38" operator="equal" stopIfTrue="1">
      <formula>"○"</formula>
    </cfRule>
  </conditionalFormatting>
  <conditionalFormatting sqref="AC31:AC70">
    <cfRule type="expression" priority="1" dxfId="39" stopIfTrue="1">
      <formula>$AC$119=0</formula>
    </cfRule>
  </conditionalFormatting>
  <dataValidations count="4">
    <dataValidation type="list" allowBlank="1" showInputMessage="1" showErrorMessage="1" sqref="AE5">
      <formula1>"公務人員,教育人員"</formula1>
    </dataValidation>
    <dataValidation type="whole" operator="lessThan" allowBlank="1" showErrorMessage="1" errorTitle="日數不可大於或等於30" error="日數不可大於或等於30" sqref="W9">
      <formula1>30</formula1>
    </dataValidation>
    <dataValidation type="whole" operator="lessThan" allowBlank="1" showErrorMessage="1" errorTitle="日數不可大於30" error="日數不可大於30" sqref="W10">
      <formula1>30</formula1>
    </dataValidation>
    <dataValidation type="whole" operator="lessThan" allowBlank="1" showInputMessage="1" showErrorMessage="1" errorTitle="月數不可大於或等於12" error="月數不可大於或等於12" sqref="U9:U10">
      <formula1>12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200" verticalDpi="2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/>
  <dimension ref="A1:C1"/>
  <sheetViews>
    <sheetView zoomScalePageLayoutView="0" workbookViewId="0" topLeftCell="A1">
      <selection activeCell="B1" sqref="B1"/>
    </sheetView>
  </sheetViews>
  <sheetFormatPr defaultColWidth="9.00390625" defaultRowHeight="15.75"/>
  <sheetData>
    <row r="1" spans="1:3" ht="16.5">
      <c r="A1">
        <v>55</v>
      </c>
      <c r="C1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svaluman</dc:creator>
  <cp:keywords/>
  <dc:description/>
  <cp:lastModifiedBy>高明賢</cp:lastModifiedBy>
  <cp:lastPrinted>2017-07-30T03:18:08Z</cp:lastPrinted>
  <dcterms:created xsi:type="dcterms:W3CDTF">2009-04-04T12:57:34Z</dcterms:created>
  <dcterms:modified xsi:type="dcterms:W3CDTF">2022-10-24T06:30:54Z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